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galny301_2\Desktop\LXVI сесія_27.08.2025\Проєкти рішень_LXVІ сесія\18, 19_Управління транспорту та телекомунікацій\Рішення 1\"/>
    </mc:Choice>
  </mc:AlternateContent>
  <bookViews>
    <workbookView xWindow="0" yWindow="0" windowWidth="28800" windowHeight="12210"/>
  </bookViews>
  <sheets>
    <sheet name="додаток сесія_08_25актуалн" sheetId="8" r:id="rId1"/>
    <sheet name="додаток сесія_24_25викна (ЄБРР)" sheetId="7" r:id="rId2"/>
    <sheet name="додаток сесія_24_25викна" sheetId="6" r:id="rId3"/>
    <sheet name="додаток сесія_24_25табло" sheetId="5" r:id="rId4"/>
    <sheet name="додаток сесія_24_25листопад" sheetId="4" r:id="rId5"/>
  </sheets>
  <definedNames>
    <definedName name="_xlnm._FilterDatabase" localSheetId="0" hidden="1">'додаток сесія_08_25актуалн'!$A$16:$U$16</definedName>
    <definedName name="_xlnm._FilterDatabase" localSheetId="2" hidden="1">'додаток сесія_24_25викна'!$A$13:$U$13</definedName>
    <definedName name="_xlnm._FilterDatabase" localSheetId="1" hidden="1">'додаток сесія_24_25викна (ЄБРР)'!$A$16:$U$16</definedName>
    <definedName name="_xlnm._FilterDatabase" localSheetId="4" hidden="1">'додаток сесія_24_25листопад'!$A$11:$U$11</definedName>
    <definedName name="_xlnm._FilterDatabase" localSheetId="3" hidden="1">'додаток сесія_24_25табло'!$A$11:$U$11</definedName>
    <definedName name="Z_A572DAFB_30CD_4064_B5AD_81739D747DA9_.wvu.FilterData" localSheetId="0" hidden="1">'додаток сесія_08_25актуалн'!$A$16:$U$16</definedName>
    <definedName name="Z_A572DAFB_30CD_4064_B5AD_81739D747DA9_.wvu.FilterData" localSheetId="2" hidden="1">'додаток сесія_24_25викна'!$A$13:$U$13</definedName>
    <definedName name="Z_A572DAFB_30CD_4064_B5AD_81739D747DA9_.wvu.FilterData" localSheetId="1" hidden="1">'додаток сесія_24_25викна (ЄБРР)'!$A$16:$U$16</definedName>
    <definedName name="Z_A572DAFB_30CD_4064_B5AD_81739D747DA9_.wvu.FilterData" localSheetId="4" hidden="1">'додаток сесія_24_25листопад'!$A$11:$U$11</definedName>
    <definedName name="Z_A572DAFB_30CD_4064_B5AD_81739D747DA9_.wvu.FilterData" localSheetId="3" hidden="1">'додаток сесія_24_25табло'!$A$11:$U$11</definedName>
    <definedName name="Z_A572DAFB_30CD_4064_B5AD_81739D747DA9_.wvu.PrintArea" localSheetId="0" hidden="1">'додаток сесія_08_25актуалн'!$A$1:$U$257</definedName>
    <definedName name="Z_A572DAFB_30CD_4064_B5AD_81739D747DA9_.wvu.PrintArea" localSheetId="2" hidden="1">'додаток сесія_24_25викна'!$A$1:$U$253</definedName>
    <definedName name="Z_A572DAFB_30CD_4064_B5AD_81739D747DA9_.wvu.PrintArea" localSheetId="1" hidden="1">'додаток сесія_24_25викна (ЄБРР)'!$A$1:$U$257</definedName>
    <definedName name="Z_A572DAFB_30CD_4064_B5AD_81739D747DA9_.wvu.PrintArea" localSheetId="4" hidden="1">'додаток сесія_24_25листопад'!$A$1:$U$250</definedName>
    <definedName name="Z_A572DAFB_30CD_4064_B5AD_81739D747DA9_.wvu.PrintArea" localSheetId="3" hidden="1">'додаток сесія_24_25табло'!$A$1:$U$250</definedName>
    <definedName name="Z_A572DAFB_30CD_4064_B5AD_81739D747DA9_.wvu.PrintTitles" localSheetId="0" hidden="1">'додаток сесія_08_25актуалн'!$16:$16</definedName>
    <definedName name="Z_A572DAFB_30CD_4064_B5AD_81739D747DA9_.wvu.PrintTitles" localSheetId="2" hidden="1">'додаток сесія_24_25викна'!$13:$13</definedName>
    <definedName name="Z_A572DAFB_30CD_4064_B5AD_81739D747DA9_.wvu.PrintTitles" localSheetId="1" hidden="1">'додаток сесія_24_25викна (ЄБРР)'!$16:$16</definedName>
    <definedName name="Z_A572DAFB_30CD_4064_B5AD_81739D747DA9_.wvu.PrintTitles" localSheetId="4" hidden="1">'додаток сесія_24_25листопад'!$11:$11</definedName>
    <definedName name="Z_A572DAFB_30CD_4064_B5AD_81739D747DA9_.wvu.PrintTitles" localSheetId="3" hidden="1">'додаток сесія_24_25табло'!$11:$11</definedName>
    <definedName name="Z_A572DAFB_30CD_4064_B5AD_81739D747DA9_.wvu.Rows" localSheetId="0" hidden="1">'додаток сесія_08_25актуалн'!$226:$227</definedName>
    <definedName name="Z_A572DAFB_30CD_4064_B5AD_81739D747DA9_.wvu.Rows" localSheetId="2" hidden="1">'додаток сесія_24_25викна'!$223:$224</definedName>
    <definedName name="Z_A572DAFB_30CD_4064_B5AD_81739D747DA9_.wvu.Rows" localSheetId="1" hidden="1">'додаток сесія_24_25викна (ЄБРР)'!$226:$227</definedName>
    <definedName name="Z_A572DAFB_30CD_4064_B5AD_81739D747DA9_.wvu.Rows" localSheetId="4" hidden="1">'додаток сесія_24_25листопад'!$220:$221</definedName>
    <definedName name="Z_A572DAFB_30CD_4064_B5AD_81739D747DA9_.wvu.Rows" localSheetId="3" hidden="1">'додаток сесія_24_25табло'!$220:$221</definedName>
    <definedName name="_xlnm.Print_Titles" localSheetId="0">'додаток сесія_08_25актуалн'!$16:$16</definedName>
    <definedName name="_xlnm.Print_Titles" localSheetId="2">'додаток сесія_24_25викна'!$13:$13</definedName>
    <definedName name="_xlnm.Print_Titles" localSheetId="1">'додаток сесія_24_25викна (ЄБРР)'!$16:$16</definedName>
    <definedName name="_xlnm.Print_Titles" localSheetId="4">'додаток сесія_24_25листопад'!$11:$11</definedName>
    <definedName name="_xlnm.Print_Titles" localSheetId="3">'додаток сесія_24_25табло'!$11:$11</definedName>
    <definedName name="_xlnm.Print_Area" localSheetId="0">'додаток сесія_08_25актуалн'!$A$1:$U$256</definedName>
    <definedName name="_xlnm.Print_Area" localSheetId="2">'додаток сесія_24_25викна'!$A$1:$U$252</definedName>
    <definedName name="_xlnm.Print_Area" localSheetId="1">'додаток сесія_24_25викна (ЄБРР)'!$A$1:$U$256</definedName>
    <definedName name="_xlnm.Print_Area" localSheetId="4">'додаток сесія_24_25листопад'!$A$1:$U$249</definedName>
    <definedName name="_xlnm.Print_Area" localSheetId="3">'додаток сесія_24_25табло'!$A$1:$U$249</definedName>
  </definedNames>
  <calcPr calcId="162913"/>
</workbook>
</file>

<file path=xl/calcChain.xml><?xml version="1.0" encoding="utf-8"?>
<calcChain xmlns="http://schemas.openxmlformats.org/spreadsheetml/2006/main">
  <c r="Q258" i="8" l="1"/>
  <c r="R258" i="8"/>
  <c r="S258" i="8"/>
  <c r="T258" i="8"/>
  <c r="U258" i="8"/>
  <c r="Q259" i="8"/>
  <c r="Q260" i="8" s="1"/>
  <c r="R259" i="8"/>
  <c r="R260" i="8" s="1"/>
  <c r="S259" i="8"/>
  <c r="S260" i="8" s="1"/>
  <c r="T259" i="8"/>
  <c r="T260" i="8" s="1"/>
  <c r="U259" i="8"/>
  <c r="U260" i="8" s="1"/>
  <c r="Q261" i="8"/>
  <c r="R261" i="8"/>
  <c r="S261" i="8"/>
  <c r="T261" i="8"/>
  <c r="U261" i="8"/>
  <c r="R80" i="8" l="1"/>
  <c r="T146" i="8" l="1"/>
  <c r="U227" i="8" l="1"/>
  <c r="T251" i="8"/>
  <c r="S251" i="8"/>
  <c r="R251" i="8"/>
  <c r="Q251" i="8"/>
  <c r="P251" i="8"/>
  <c r="O251" i="8"/>
  <c r="M251" i="8"/>
  <c r="L251" i="8"/>
  <c r="K251" i="8"/>
  <c r="J251" i="8"/>
  <c r="I251" i="8"/>
  <c r="H251" i="8"/>
  <c r="G251" i="8"/>
  <c r="N250" i="8"/>
  <c r="U250" i="8" s="1"/>
  <c r="N249" i="8"/>
  <c r="U249" i="8" s="1"/>
  <c r="N248" i="8"/>
  <c r="U248" i="8" s="1"/>
  <c r="N247" i="8"/>
  <c r="U247" i="8" s="1"/>
  <c r="T246" i="8"/>
  <c r="S246" i="8"/>
  <c r="R246" i="8"/>
  <c r="Q246" i="8"/>
  <c r="P246" i="8"/>
  <c r="O246" i="8"/>
  <c r="M246" i="8"/>
  <c r="L246" i="8"/>
  <c r="K246" i="8"/>
  <c r="J246" i="8"/>
  <c r="I246" i="8"/>
  <c r="H246" i="8"/>
  <c r="G246" i="8"/>
  <c r="N245" i="8"/>
  <c r="U245" i="8" s="1"/>
  <c r="N244" i="8"/>
  <c r="U244" i="8" s="1"/>
  <c r="N243" i="8"/>
  <c r="N242" i="8"/>
  <c r="U242" i="8" s="1"/>
  <c r="T241" i="8"/>
  <c r="S241" i="8"/>
  <c r="R241" i="8"/>
  <c r="Q241" i="8"/>
  <c r="P241" i="8"/>
  <c r="M241" i="8"/>
  <c r="K241" i="8"/>
  <c r="J241" i="8"/>
  <c r="I241" i="8"/>
  <c r="H241" i="8"/>
  <c r="G241" i="8"/>
  <c r="N240" i="8"/>
  <c r="U240" i="8" s="1"/>
  <c r="O239" i="8"/>
  <c r="N239" i="8"/>
  <c r="U239" i="8" s="1"/>
  <c r="N238" i="8"/>
  <c r="U238" i="8" s="1"/>
  <c r="O237" i="8"/>
  <c r="M237" i="8"/>
  <c r="L237" i="8"/>
  <c r="L241" i="8" s="1"/>
  <c r="N236" i="8"/>
  <c r="U236" i="8" s="1"/>
  <c r="N235" i="8"/>
  <c r="U235" i="8" s="1"/>
  <c r="N234" i="8"/>
  <c r="U234" i="8" s="1"/>
  <c r="N233" i="8"/>
  <c r="U233" i="8" s="1"/>
  <c r="N232" i="8"/>
  <c r="U232" i="8" s="1"/>
  <c r="N231" i="8"/>
  <c r="U231" i="8" s="1"/>
  <c r="U230" i="8"/>
  <c r="N230" i="8"/>
  <c r="N229" i="8"/>
  <c r="U229" i="8" s="1"/>
  <c r="N228" i="8"/>
  <c r="U228" i="8" s="1"/>
  <c r="N227" i="8"/>
  <c r="N226" i="8"/>
  <c r="U226" i="8" s="1"/>
  <c r="O225" i="8"/>
  <c r="O241" i="8" s="1"/>
  <c r="N225" i="8"/>
  <c r="U225" i="8" s="1"/>
  <c r="P224" i="8"/>
  <c r="K224" i="8"/>
  <c r="G224" i="8"/>
  <c r="U223" i="8"/>
  <c r="Q223" i="8"/>
  <c r="U222" i="8"/>
  <c r="N221" i="8"/>
  <c r="U221" i="8" s="1"/>
  <c r="N220" i="8"/>
  <c r="U220" i="8" s="1"/>
  <c r="S219" i="8"/>
  <c r="N219" i="8"/>
  <c r="U219" i="8" s="1"/>
  <c r="S218" i="8"/>
  <c r="N218" i="8"/>
  <c r="U218" i="8" s="1"/>
  <c r="R217" i="8"/>
  <c r="N217" i="8"/>
  <c r="N216" i="8"/>
  <c r="U216" i="8" s="1"/>
  <c r="N215" i="8"/>
  <c r="U215" i="8" s="1"/>
  <c r="S214" i="8"/>
  <c r="N214" i="8"/>
  <c r="U214" i="8" s="1"/>
  <c r="S213" i="8"/>
  <c r="N213" i="8"/>
  <c r="N212" i="8"/>
  <c r="U212" i="8" s="1"/>
  <c r="S211" i="8"/>
  <c r="N211" i="8"/>
  <c r="U211" i="8" s="1"/>
  <c r="R210" i="8"/>
  <c r="N210" i="8"/>
  <c r="U210" i="8" s="1"/>
  <c r="R209" i="8"/>
  <c r="N209" i="8"/>
  <c r="U209" i="8" s="1"/>
  <c r="Q208" i="8"/>
  <c r="N208" i="8"/>
  <c r="Q207" i="8"/>
  <c r="N207" i="8"/>
  <c r="U207" i="8" s="1"/>
  <c r="Q206" i="8"/>
  <c r="N206" i="8"/>
  <c r="U206" i="8" s="1"/>
  <c r="Q205" i="8"/>
  <c r="N205" i="8"/>
  <c r="U205" i="8" s="1"/>
  <c r="N204" i="8"/>
  <c r="U204" i="8" s="1"/>
  <c r="N203" i="8"/>
  <c r="U203" i="8" s="1"/>
  <c r="Q202" i="8"/>
  <c r="N202" i="8"/>
  <c r="U202" i="8" s="1"/>
  <c r="N201" i="8"/>
  <c r="U201" i="8" s="1"/>
  <c r="Q200" i="8"/>
  <c r="N200" i="8"/>
  <c r="U200" i="8" s="1"/>
  <c r="N199" i="8"/>
  <c r="U199" i="8" s="1"/>
  <c r="N198" i="8"/>
  <c r="U198" i="8" s="1"/>
  <c r="S197" i="8"/>
  <c r="N197" i="8"/>
  <c r="U197" i="8" s="1"/>
  <c r="S196" i="8"/>
  <c r="N196" i="8"/>
  <c r="U196" i="8" s="1"/>
  <c r="S195" i="8"/>
  <c r="N195" i="8"/>
  <c r="S194" i="8"/>
  <c r="N194" i="8"/>
  <c r="U194" i="8" s="1"/>
  <c r="N193" i="8"/>
  <c r="U193" i="8" s="1"/>
  <c r="S192" i="8"/>
  <c r="N192" i="8"/>
  <c r="U192" i="8" s="1"/>
  <c r="S191" i="8"/>
  <c r="N191" i="8"/>
  <c r="U191" i="8" s="1"/>
  <c r="S190" i="8"/>
  <c r="N190" i="8"/>
  <c r="R189" i="8"/>
  <c r="N189" i="8"/>
  <c r="U189" i="8" s="1"/>
  <c r="R188" i="8"/>
  <c r="N188" i="8"/>
  <c r="U188" i="8" s="1"/>
  <c r="S187" i="8"/>
  <c r="N187" i="8"/>
  <c r="U187" i="8" s="1"/>
  <c r="N186" i="8"/>
  <c r="N185" i="8"/>
  <c r="U185" i="8" s="1"/>
  <c r="T184" i="8"/>
  <c r="N184" i="8"/>
  <c r="U184" i="8" s="1"/>
  <c r="T183" i="8"/>
  <c r="N183" i="8"/>
  <c r="U183" i="8" s="1"/>
  <c r="T182" i="8"/>
  <c r="N182" i="8"/>
  <c r="U182" i="8" s="1"/>
  <c r="N181" i="8"/>
  <c r="U181" i="8" s="1"/>
  <c r="T180" i="8"/>
  <c r="N180" i="8"/>
  <c r="U180" i="8" s="1"/>
  <c r="T179" i="8"/>
  <c r="N179" i="8"/>
  <c r="U179" i="8" s="1"/>
  <c r="T178" i="8"/>
  <c r="N178" i="8"/>
  <c r="U178" i="8" s="1"/>
  <c r="S177" i="8"/>
  <c r="N177" i="8"/>
  <c r="U177" i="8" s="1"/>
  <c r="T176" i="8"/>
  <c r="N176" i="8"/>
  <c r="U176" i="8" s="1"/>
  <c r="N175" i="8"/>
  <c r="U175" i="8" s="1"/>
  <c r="T174" i="8"/>
  <c r="T224" i="8" s="1"/>
  <c r="N174" i="8"/>
  <c r="T173" i="8"/>
  <c r="N173" i="8"/>
  <c r="U173" i="8" s="1"/>
  <c r="N172" i="8"/>
  <c r="U172" i="8" s="1"/>
  <c r="U171" i="8"/>
  <c r="N171" i="8"/>
  <c r="N170" i="8"/>
  <c r="U170" i="8" s="1"/>
  <c r="N169" i="8"/>
  <c r="U169" i="8" s="1"/>
  <c r="S168" i="8"/>
  <c r="N168" i="8"/>
  <c r="N167" i="8"/>
  <c r="U167" i="8" s="1"/>
  <c r="N166" i="8"/>
  <c r="U166" i="8" s="1"/>
  <c r="L165" i="8"/>
  <c r="N165" i="8" s="1"/>
  <c r="U165" i="8" s="1"/>
  <c r="N164" i="8"/>
  <c r="U164" i="8" s="1"/>
  <c r="L164" i="8"/>
  <c r="N163" i="8"/>
  <c r="U163" i="8" s="1"/>
  <c r="S162" i="8"/>
  <c r="R162" i="8"/>
  <c r="Q162" i="8"/>
  <c r="N162" i="8"/>
  <c r="U162" i="8" s="1"/>
  <c r="M162" i="8"/>
  <c r="N161" i="8"/>
  <c r="U161" i="8" s="1"/>
  <c r="N160" i="8"/>
  <c r="U160" i="8" s="1"/>
  <c r="S159" i="8"/>
  <c r="N159" i="8"/>
  <c r="U159" i="8" s="1"/>
  <c r="M158" i="8"/>
  <c r="N158" i="8" s="1"/>
  <c r="U158" i="8" s="1"/>
  <c r="Q157" i="8"/>
  <c r="N157" i="8"/>
  <c r="U157" i="8" s="1"/>
  <c r="N156" i="8"/>
  <c r="U156" i="8" s="1"/>
  <c r="M156" i="8"/>
  <c r="L156" i="8"/>
  <c r="S155" i="8"/>
  <c r="N155" i="8"/>
  <c r="U155" i="8" s="1"/>
  <c r="M155" i="8"/>
  <c r="S154" i="8"/>
  <c r="N154" i="8"/>
  <c r="U154" i="8" s="1"/>
  <c r="O153" i="8"/>
  <c r="N153" i="8"/>
  <c r="U153" i="8" s="1"/>
  <c r="M153" i="8"/>
  <c r="N152" i="8"/>
  <c r="U152" i="8" s="1"/>
  <c r="R151" i="8"/>
  <c r="O151" i="8"/>
  <c r="N151" i="8"/>
  <c r="U151" i="8" s="1"/>
  <c r="M150" i="8"/>
  <c r="N150" i="8" s="1"/>
  <c r="U150" i="8" s="1"/>
  <c r="N149" i="8"/>
  <c r="U149" i="8" s="1"/>
  <c r="L149" i="8"/>
  <c r="M148" i="8"/>
  <c r="N148" i="8" s="1"/>
  <c r="U148" i="8" s="1"/>
  <c r="O147" i="8"/>
  <c r="N147" i="8"/>
  <c r="U147" i="8" s="1"/>
  <c r="M147" i="8"/>
  <c r="L147" i="8"/>
  <c r="Q146" i="8"/>
  <c r="O146" i="8"/>
  <c r="M146" i="8"/>
  <c r="N146" i="8" s="1"/>
  <c r="U146" i="8" s="1"/>
  <c r="M145" i="8"/>
  <c r="N145" i="8" s="1"/>
  <c r="U145" i="8" s="1"/>
  <c r="N144" i="8"/>
  <c r="U144" i="8" s="1"/>
  <c r="N143" i="8"/>
  <c r="U143" i="8" s="1"/>
  <c r="M142" i="8"/>
  <c r="N142" i="8" s="1"/>
  <c r="U142" i="8" s="1"/>
  <c r="L142" i="8"/>
  <c r="N141" i="8"/>
  <c r="U141" i="8" s="1"/>
  <c r="N140" i="8"/>
  <c r="U140" i="8" s="1"/>
  <c r="N139" i="8"/>
  <c r="U139" i="8" s="1"/>
  <c r="N138" i="8"/>
  <c r="U138" i="8" s="1"/>
  <c r="N137" i="8"/>
  <c r="U137" i="8" s="1"/>
  <c r="M136" i="8"/>
  <c r="N136" i="8" s="1"/>
  <c r="U136" i="8" s="1"/>
  <c r="N135" i="8"/>
  <c r="U135" i="8" s="1"/>
  <c r="U134" i="8"/>
  <c r="N134" i="8"/>
  <c r="M134" i="8"/>
  <c r="N133" i="8"/>
  <c r="U133" i="8" s="1"/>
  <c r="N132" i="8"/>
  <c r="U132" i="8" s="1"/>
  <c r="N131" i="8"/>
  <c r="U131" i="8" s="1"/>
  <c r="N130" i="8"/>
  <c r="U130" i="8" s="1"/>
  <c r="N129" i="8"/>
  <c r="U129" i="8" s="1"/>
  <c r="N128" i="8"/>
  <c r="U128" i="8" s="1"/>
  <c r="N127" i="8"/>
  <c r="U127" i="8" s="1"/>
  <c r="N126" i="8"/>
  <c r="U126" i="8" s="1"/>
  <c r="N125" i="8"/>
  <c r="U125" i="8" s="1"/>
  <c r="N124" i="8"/>
  <c r="U124" i="8" s="1"/>
  <c r="N123" i="8"/>
  <c r="U123" i="8" s="1"/>
  <c r="N122" i="8"/>
  <c r="U122" i="8" s="1"/>
  <c r="N121" i="8"/>
  <c r="U121" i="8" s="1"/>
  <c r="N120" i="8"/>
  <c r="U120" i="8" s="1"/>
  <c r="N119" i="8"/>
  <c r="U119" i="8" s="1"/>
  <c r="N118" i="8"/>
  <c r="U118" i="8" s="1"/>
  <c r="N117" i="8"/>
  <c r="U117" i="8" s="1"/>
  <c r="T116" i="8"/>
  <c r="S116" i="8"/>
  <c r="S224" i="8" s="1"/>
  <c r="R116" i="8"/>
  <c r="Q116" i="8"/>
  <c r="O116" i="8"/>
  <c r="O224" i="8" s="1"/>
  <c r="N116" i="8"/>
  <c r="U116" i="8" s="1"/>
  <c r="N115" i="8"/>
  <c r="U115" i="8" s="1"/>
  <c r="M114" i="8"/>
  <c r="N114" i="8" s="1"/>
  <c r="U114" i="8" s="1"/>
  <c r="N113" i="8"/>
  <c r="U113" i="8" s="1"/>
  <c r="R112" i="8"/>
  <c r="R224" i="8" s="1"/>
  <c r="N112" i="8"/>
  <c r="U112" i="8" s="1"/>
  <c r="M112" i="8"/>
  <c r="N111" i="8"/>
  <c r="U111" i="8" s="1"/>
  <c r="N110" i="8"/>
  <c r="U110" i="8" s="1"/>
  <c r="L110" i="8"/>
  <c r="N109" i="8"/>
  <c r="U109" i="8" s="1"/>
  <c r="N108" i="8"/>
  <c r="U108" i="8" s="1"/>
  <c r="N107" i="8"/>
  <c r="U107" i="8" s="1"/>
  <c r="N106" i="8"/>
  <c r="U106" i="8" s="1"/>
  <c r="N105" i="8"/>
  <c r="U105" i="8" s="1"/>
  <c r="M104" i="8"/>
  <c r="L104" i="8"/>
  <c r="N104" i="8" s="1"/>
  <c r="U104" i="8" s="1"/>
  <c r="N103" i="8"/>
  <c r="U103" i="8" s="1"/>
  <c r="N102" i="8"/>
  <c r="U102" i="8" s="1"/>
  <c r="N101" i="8"/>
  <c r="U101" i="8" s="1"/>
  <c r="M100" i="8"/>
  <c r="N100" i="8" s="1"/>
  <c r="U100" i="8" s="1"/>
  <c r="L100" i="8"/>
  <c r="N99" i="8"/>
  <c r="U99" i="8" s="1"/>
  <c r="N98" i="8"/>
  <c r="U98" i="8" s="1"/>
  <c r="N97" i="8"/>
  <c r="U97" i="8" s="1"/>
  <c r="N96" i="8"/>
  <c r="U96" i="8" s="1"/>
  <c r="J96" i="8"/>
  <c r="J224" i="8" s="1"/>
  <c r="I96" i="8"/>
  <c r="I224" i="8" s="1"/>
  <c r="H96" i="8"/>
  <c r="N95" i="8"/>
  <c r="U95" i="8" s="1"/>
  <c r="N94" i="8"/>
  <c r="U94" i="8" s="1"/>
  <c r="N93" i="8"/>
  <c r="U93" i="8" s="1"/>
  <c r="N92" i="8"/>
  <c r="U92" i="8" s="1"/>
  <c r="N91" i="8"/>
  <c r="U91" i="8" s="1"/>
  <c r="N90" i="8"/>
  <c r="U90" i="8" s="1"/>
  <c r="N89" i="8"/>
  <c r="U89" i="8" s="1"/>
  <c r="L89" i="8"/>
  <c r="Q88" i="8"/>
  <c r="Q224" i="8" s="1"/>
  <c r="H88" i="8"/>
  <c r="N88" i="8" s="1"/>
  <c r="U88" i="8" s="1"/>
  <c r="N87" i="8"/>
  <c r="U87" i="8" s="1"/>
  <c r="L87" i="8"/>
  <c r="L86" i="8"/>
  <c r="L224" i="8" s="1"/>
  <c r="H86" i="8"/>
  <c r="H224" i="8" s="1"/>
  <c r="J85" i="8"/>
  <c r="T84" i="8"/>
  <c r="S84" i="8"/>
  <c r="R84" i="8"/>
  <c r="Q84" i="8"/>
  <c r="N84" i="8"/>
  <c r="Q83" i="8"/>
  <c r="N83" i="8"/>
  <c r="U83" i="8" s="1"/>
  <c r="Q82" i="8"/>
  <c r="N82" i="8"/>
  <c r="U82" i="8" s="1"/>
  <c r="T81" i="8"/>
  <c r="S81" i="8"/>
  <c r="R81" i="8"/>
  <c r="Q81" i="8"/>
  <c r="N81" i="8"/>
  <c r="T80" i="8"/>
  <c r="S80" i="8"/>
  <c r="Q80" i="8"/>
  <c r="O80" i="8"/>
  <c r="N80" i="8"/>
  <c r="U80" i="8" s="1"/>
  <c r="U79" i="8"/>
  <c r="N79" i="8"/>
  <c r="T78" i="8"/>
  <c r="S78" i="8"/>
  <c r="R78" i="8"/>
  <c r="Q78" i="8"/>
  <c r="O78" i="8"/>
  <c r="N78" i="8"/>
  <c r="M78" i="8"/>
  <c r="Q77" i="8"/>
  <c r="N77" i="8"/>
  <c r="U77" i="8" s="1"/>
  <c r="T76" i="8"/>
  <c r="S76" i="8"/>
  <c r="R76" i="8"/>
  <c r="Q76" i="8"/>
  <c r="M76" i="8"/>
  <c r="L76" i="8"/>
  <c r="N76" i="8" s="1"/>
  <c r="U76" i="8" s="1"/>
  <c r="T75" i="8"/>
  <c r="S75" i="8"/>
  <c r="R75" i="8"/>
  <c r="Q75" i="8"/>
  <c r="N75" i="8"/>
  <c r="U75" i="8" s="1"/>
  <c r="R74" i="8"/>
  <c r="Q74" i="8"/>
  <c r="L74" i="8"/>
  <c r="N74" i="8" s="1"/>
  <c r="U74" i="8" s="1"/>
  <c r="R73" i="8"/>
  <c r="N73" i="8"/>
  <c r="U73" i="8" s="1"/>
  <c r="R72" i="8"/>
  <c r="U72" i="8" s="1"/>
  <c r="Q72" i="8"/>
  <c r="O72" i="8"/>
  <c r="N72" i="8"/>
  <c r="T71" i="8"/>
  <c r="S71" i="8"/>
  <c r="R71" i="8"/>
  <c r="Q71" i="8"/>
  <c r="L71" i="8"/>
  <c r="N71" i="8" s="1"/>
  <c r="U71" i="8" s="1"/>
  <c r="Q70" i="8"/>
  <c r="N70" i="8"/>
  <c r="R69" i="8"/>
  <c r="N69" i="8"/>
  <c r="U69" i="8" s="1"/>
  <c r="N68" i="8"/>
  <c r="U68" i="8" s="1"/>
  <c r="N67" i="8"/>
  <c r="U67" i="8" s="1"/>
  <c r="M67" i="8"/>
  <c r="N66" i="8"/>
  <c r="U66" i="8" s="1"/>
  <c r="Q65" i="8"/>
  <c r="N65" i="8"/>
  <c r="U65" i="8" s="1"/>
  <c r="M65" i="8"/>
  <c r="N64" i="8"/>
  <c r="U64" i="8" s="1"/>
  <c r="M64" i="8"/>
  <c r="T63" i="8"/>
  <c r="S63" i="8"/>
  <c r="R63" i="8"/>
  <c r="Q63" i="8"/>
  <c r="N63" i="8"/>
  <c r="U63" i="8" s="1"/>
  <c r="O62" i="8"/>
  <c r="M62" i="8"/>
  <c r="L62" i="8"/>
  <c r="N62" i="8" s="1"/>
  <c r="U62" i="8" s="1"/>
  <c r="O61" i="8"/>
  <c r="N61" i="8"/>
  <c r="U61" i="8" s="1"/>
  <c r="M61" i="8"/>
  <c r="O60" i="8"/>
  <c r="N60" i="8"/>
  <c r="U60" i="8" s="1"/>
  <c r="M60" i="8"/>
  <c r="L60" i="8"/>
  <c r="N59" i="8"/>
  <c r="U59" i="8" s="1"/>
  <c r="S58" i="8"/>
  <c r="Q58" i="8"/>
  <c r="N58" i="8"/>
  <c r="R57" i="8"/>
  <c r="N57" i="8"/>
  <c r="U57" i="8" s="1"/>
  <c r="Q56" i="8"/>
  <c r="N56" i="8"/>
  <c r="U56" i="8" s="1"/>
  <c r="N55" i="8"/>
  <c r="U55" i="8" s="1"/>
  <c r="N54" i="8"/>
  <c r="U54" i="8" s="1"/>
  <c r="U53" i="8"/>
  <c r="P53" i="8"/>
  <c r="N53" i="8"/>
  <c r="S52" i="8"/>
  <c r="S44" i="8" s="1"/>
  <c r="S85" i="8" s="1"/>
  <c r="R52" i="8"/>
  <c r="Q52" i="8"/>
  <c r="N52" i="8"/>
  <c r="U52" i="8" s="1"/>
  <c r="N51" i="8"/>
  <c r="U51" i="8" s="1"/>
  <c r="R50" i="8"/>
  <c r="Q50" i="8"/>
  <c r="N50" i="8"/>
  <c r="M50" i="8"/>
  <c r="R49" i="8"/>
  <c r="R44" i="8" s="1"/>
  <c r="R85" i="8" s="1"/>
  <c r="Q49" i="8"/>
  <c r="Q44" i="8" s="1"/>
  <c r="Q85" i="8" s="1"/>
  <c r="P49" i="8"/>
  <c r="O49" i="8"/>
  <c r="M49" i="8"/>
  <c r="N49" i="8" s="1"/>
  <c r="U49" i="8" s="1"/>
  <c r="Q48" i="8"/>
  <c r="P48" i="8"/>
  <c r="P44" i="8" s="1"/>
  <c r="P85" i="8" s="1"/>
  <c r="O48" i="8"/>
  <c r="O44" i="8" s="1"/>
  <c r="O85" i="8" s="1"/>
  <c r="L48" i="8"/>
  <c r="N48" i="8" s="1"/>
  <c r="U48" i="8" s="1"/>
  <c r="T47" i="8"/>
  <c r="T44" i="8" s="1"/>
  <c r="T85" i="8" s="1"/>
  <c r="Q47" i="8"/>
  <c r="N47" i="8"/>
  <c r="L47" i="8"/>
  <c r="N46" i="8"/>
  <c r="U46" i="8" s="1"/>
  <c r="M46" i="8"/>
  <c r="M44" i="8" s="1"/>
  <c r="M85" i="8" s="1"/>
  <c r="K44" i="8"/>
  <c r="K85" i="8" s="1"/>
  <c r="J44" i="8"/>
  <c r="I44" i="8"/>
  <c r="I85" i="8" s="1"/>
  <c r="H44" i="8"/>
  <c r="H85" i="8" s="1"/>
  <c r="G44" i="8"/>
  <c r="N43" i="8"/>
  <c r="U43" i="8" s="1"/>
  <c r="G42" i="8"/>
  <c r="O41" i="8"/>
  <c r="M41" i="8"/>
  <c r="L41" i="8"/>
  <c r="N41" i="8" s="1"/>
  <c r="U41" i="8" s="1"/>
  <c r="T40" i="8"/>
  <c r="S40" i="8"/>
  <c r="R40" i="8"/>
  <c r="O40" i="8"/>
  <c r="H40" i="8"/>
  <c r="N40" i="8" s="1"/>
  <c r="U40" i="8" s="1"/>
  <c r="S39" i="8"/>
  <c r="N39" i="8"/>
  <c r="U39" i="8" s="1"/>
  <c r="T38" i="8"/>
  <c r="O38" i="8"/>
  <c r="N38" i="8"/>
  <c r="U38" i="8" s="1"/>
  <c r="R37" i="8"/>
  <c r="N37" i="8"/>
  <c r="U37" i="8" s="1"/>
  <c r="M37" i="8"/>
  <c r="N36" i="8"/>
  <c r="U36" i="8" s="1"/>
  <c r="Q35" i="8"/>
  <c r="N35" i="8"/>
  <c r="U35" i="8" s="1"/>
  <c r="N34" i="8"/>
  <c r="U34" i="8" s="1"/>
  <c r="T33" i="8"/>
  <c r="S33" i="8"/>
  <c r="R33" i="8"/>
  <c r="Q33" i="8"/>
  <c r="O33" i="8"/>
  <c r="N33" i="8"/>
  <c r="U33" i="8" s="1"/>
  <c r="H33" i="8"/>
  <c r="O32" i="8"/>
  <c r="N32" i="8"/>
  <c r="U32" i="8" s="1"/>
  <c r="L32" i="8"/>
  <c r="L31" i="8"/>
  <c r="N31" i="8" s="1"/>
  <c r="U31" i="8" s="1"/>
  <c r="L30" i="8"/>
  <c r="N30" i="8" s="1"/>
  <c r="U30" i="8" s="1"/>
  <c r="R29" i="8"/>
  <c r="Q29" i="8"/>
  <c r="N29" i="8"/>
  <c r="U29" i="8" s="1"/>
  <c r="N28" i="8"/>
  <c r="U28" i="8" s="1"/>
  <c r="N27" i="8"/>
  <c r="U27" i="8" s="1"/>
  <c r="N26" i="8"/>
  <c r="U26" i="8" s="1"/>
  <c r="N25" i="8"/>
  <c r="U25" i="8" s="1"/>
  <c r="T24" i="8"/>
  <c r="S24" i="8"/>
  <c r="R24" i="8"/>
  <c r="Q24" i="8"/>
  <c r="N24" i="8"/>
  <c r="U24" i="8" s="1"/>
  <c r="N23" i="8"/>
  <c r="U23" i="8" s="1"/>
  <c r="N22" i="8"/>
  <c r="U22" i="8" s="1"/>
  <c r="N21" i="8"/>
  <c r="U21" i="8" s="1"/>
  <c r="N20" i="8"/>
  <c r="U20" i="8" s="1"/>
  <c r="T19" i="8"/>
  <c r="S19" i="8"/>
  <c r="R19" i="8"/>
  <c r="Q19" i="8"/>
  <c r="O19" i="8"/>
  <c r="N19" i="8"/>
  <c r="U19" i="8" s="1"/>
  <c r="T18" i="8"/>
  <c r="S18" i="8"/>
  <c r="R18" i="8"/>
  <c r="Q18" i="8"/>
  <c r="O18" i="8"/>
  <c r="N18" i="8"/>
  <c r="U18" i="8" s="1"/>
  <c r="L17" i="8"/>
  <c r="H17" i="8"/>
  <c r="N17" i="8" s="1"/>
  <c r="U17" i="8" s="1"/>
  <c r="U78" i="8" l="1"/>
  <c r="N246" i="8"/>
  <c r="U246" i="8" s="1"/>
  <c r="N251" i="8"/>
  <c r="U251" i="8" s="1"/>
  <c r="U190" i="8"/>
  <c r="U208" i="8"/>
  <c r="U195" i="8"/>
  <c r="K252" i="8"/>
  <c r="U70" i="8"/>
  <c r="U58" i="8"/>
  <c r="U243" i="8"/>
  <c r="U186" i="8"/>
  <c r="U168" i="8"/>
  <c r="U217" i="8"/>
  <c r="G85" i="8"/>
  <c r="G252" i="8" s="1"/>
  <c r="U50" i="8"/>
  <c r="U84" i="8"/>
  <c r="J252" i="8"/>
  <c r="U81" i="8"/>
  <c r="U213" i="8"/>
  <c r="P252" i="8"/>
  <c r="Q252" i="8"/>
  <c r="R252" i="8"/>
  <c r="S252" i="8"/>
  <c r="T252" i="8"/>
  <c r="H252" i="8"/>
  <c r="I252" i="8"/>
  <c r="O252" i="8"/>
  <c r="M224" i="8"/>
  <c r="M252" i="8" s="1"/>
  <c r="N237" i="8"/>
  <c r="U237" i="8" s="1"/>
  <c r="L44" i="8"/>
  <c r="L85" i="8" s="1"/>
  <c r="L252" i="8" s="1"/>
  <c r="N86" i="8"/>
  <c r="N42" i="8"/>
  <c r="U42" i="8" s="1"/>
  <c r="U174" i="8"/>
  <c r="U47" i="8"/>
  <c r="T75" i="7"/>
  <c r="N241" i="8" l="1"/>
  <c r="U241" i="8" s="1"/>
  <c r="N224" i="8"/>
  <c r="U86" i="8"/>
  <c r="U224" i="8" s="1"/>
  <c r="N44" i="8"/>
  <c r="R80" i="7"/>
  <c r="U44" i="8" l="1"/>
  <c r="U85" i="8" s="1"/>
  <c r="N85" i="8"/>
  <c r="N252" i="8" s="1"/>
  <c r="U252" i="8" s="1"/>
  <c r="Q162" i="7"/>
  <c r="Q88" i="7"/>
  <c r="Q223" i="7" l="1"/>
  <c r="T251" i="7" l="1"/>
  <c r="S251" i="7"/>
  <c r="R251" i="7"/>
  <c r="Q251" i="7"/>
  <c r="P251" i="7"/>
  <c r="O251" i="7"/>
  <c r="M251" i="7"/>
  <c r="L251" i="7"/>
  <c r="K251" i="7"/>
  <c r="J251" i="7"/>
  <c r="I251" i="7"/>
  <c r="H251" i="7"/>
  <c r="G251" i="7"/>
  <c r="N250" i="7"/>
  <c r="U250" i="7" s="1"/>
  <c r="U249" i="7"/>
  <c r="N249" i="7"/>
  <c r="U248" i="7"/>
  <c r="N248" i="7"/>
  <c r="N247" i="7"/>
  <c r="U247" i="7" s="1"/>
  <c r="T246" i="7"/>
  <c r="S246" i="7"/>
  <c r="R246" i="7"/>
  <c r="Q246" i="7"/>
  <c r="P246" i="7"/>
  <c r="O246" i="7"/>
  <c r="M246" i="7"/>
  <c r="L246" i="7"/>
  <c r="K246" i="7"/>
  <c r="J246" i="7"/>
  <c r="I246" i="7"/>
  <c r="H246" i="7"/>
  <c r="G246" i="7"/>
  <c r="N245" i="7"/>
  <c r="U245" i="7" s="1"/>
  <c r="N244" i="7"/>
  <c r="U244" i="7" s="1"/>
  <c r="N243" i="7"/>
  <c r="U243" i="7" s="1"/>
  <c r="N242" i="7"/>
  <c r="T241" i="7"/>
  <c r="S241" i="7"/>
  <c r="R241" i="7"/>
  <c r="Q241" i="7"/>
  <c r="P241" i="7"/>
  <c r="M241" i="7"/>
  <c r="K241" i="7"/>
  <c r="J241" i="7"/>
  <c r="I241" i="7"/>
  <c r="H241" i="7"/>
  <c r="G241" i="7"/>
  <c r="N240" i="7"/>
  <c r="U240" i="7" s="1"/>
  <c r="O239" i="7"/>
  <c r="N239" i="7"/>
  <c r="U239" i="7" s="1"/>
  <c r="N238" i="7"/>
  <c r="U238" i="7" s="1"/>
  <c r="O237" i="7"/>
  <c r="M237" i="7"/>
  <c r="L237" i="7"/>
  <c r="N237" i="7" s="1"/>
  <c r="U237" i="7" s="1"/>
  <c r="U236" i="7"/>
  <c r="N236" i="7"/>
  <c r="U235" i="7"/>
  <c r="N235" i="7"/>
  <c r="N234" i="7"/>
  <c r="U234" i="7" s="1"/>
  <c r="N233" i="7"/>
  <c r="U233" i="7" s="1"/>
  <c r="N232" i="7"/>
  <c r="U232" i="7" s="1"/>
  <c r="N231" i="7"/>
  <c r="U231" i="7" s="1"/>
  <c r="N230" i="7"/>
  <c r="U230" i="7" s="1"/>
  <c r="N229" i="7"/>
  <c r="U229" i="7" s="1"/>
  <c r="N228" i="7"/>
  <c r="U228" i="7" s="1"/>
  <c r="N227" i="7"/>
  <c r="U227" i="7" s="1"/>
  <c r="U226" i="7"/>
  <c r="N226" i="7"/>
  <c r="O225" i="7"/>
  <c r="O241" i="7" s="1"/>
  <c r="N225" i="7"/>
  <c r="P224" i="7"/>
  <c r="K224" i="7"/>
  <c r="G224" i="7"/>
  <c r="U223" i="7"/>
  <c r="U222" i="7"/>
  <c r="N221" i="7"/>
  <c r="U221" i="7" s="1"/>
  <c r="N220" i="7"/>
  <c r="U220" i="7" s="1"/>
  <c r="S219" i="7"/>
  <c r="N219" i="7"/>
  <c r="U219" i="7" s="1"/>
  <c r="S218" i="7"/>
  <c r="N218" i="7"/>
  <c r="U218" i="7" s="1"/>
  <c r="R217" i="7"/>
  <c r="N217" i="7"/>
  <c r="U217" i="7" s="1"/>
  <c r="N216" i="7"/>
  <c r="U216" i="7" s="1"/>
  <c r="N215" i="7"/>
  <c r="U215" i="7" s="1"/>
  <c r="S214" i="7"/>
  <c r="N214" i="7"/>
  <c r="S213" i="7"/>
  <c r="N213" i="7"/>
  <c r="U213" i="7" s="1"/>
  <c r="N212" i="7"/>
  <c r="U212" i="7" s="1"/>
  <c r="S211" i="7"/>
  <c r="N211" i="7"/>
  <c r="R210" i="7"/>
  <c r="N210" i="7"/>
  <c r="U210" i="7" s="1"/>
  <c r="R209" i="7"/>
  <c r="N209" i="7"/>
  <c r="U209" i="7" s="1"/>
  <c r="Q208" i="7"/>
  <c r="N208" i="7"/>
  <c r="U208" i="7" s="1"/>
  <c r="Q207" i="7"/>
  <c r="N207" i="7"/>
  <c r="U207" i="7" s="1"/>
  <c r="Q206" i="7"/>
  <c r="N206" i="7"/>
  <c r="U206" i="7" s="1"/>
  <c r="Q205" i="7"/>
  <c r="N205" i="7"/>
  <c r="U205" i="7" s="1"/>
  <c r="N204" i="7"/>
  <c r="U204" i="7" s="1"/>
  <c r="N203" i="7"/>
  <c r="U203" i="7" s="1"/>
  <c r="Q202" i="7"/>
  <c r="N202" i="7"/>
  <c r="U202" i="7" s="1"/>
  <c r="N201" i="7"/>
  <c r="U201" i="7" s="1"/>
  <c r="Q200" i="7"/>
  <c r="N200" i="7"/>
  <c r="U200" i="7" s="1"/>
  <c r="N199" i="7"/>
  <c r="U199" i="7" s="1"/>
  <c r="N198" i="7"/>
  <c r="U198" i="7" s="1"/>
  <c r="S197" i="7"/>
  <c r="N197" i="7"/>
  <c r="U197" i="7" s="1"/>
  <c r="S196" i="7"/>
  <c r="N196" i="7"/>
  <c r="S195" i="7"/>
  <c r="N195" i="7"/>
  <c r="U195" i="7" s="1"/>
  <c r="S194" i="7"/>
  <c r="N194" i="7"/>
  <c r="U194" i="7" s="1"/>
  <c r="N193" i="7"/>
  <c r="U193" i="7" s="1"/>
  <c r="S192" i="7"/>
  <c r="N192" i="7"/>
  <c r="U192" i="7" s="1"/>
  <c r="S191" i="7"/>
  <c r="N191" i="7"/>
  <c r="U191" i="7" s="1"/>
  <c r="S190" i="7"/>
  <c r="N190" i="7"/>
  <c r="U190" i="7" s="1"/>
  <c r="R189" i="7"/>
  <c r="N189" i="7"/>
  <c r="U189" i="7" s="1"/>
  <c r="R188" i="7"/>
  <c r="N188" i="7"/>
  <c r="U188" i="7" s="1"/>
  <c r="S187" i="7"/>
  <c r="N187" i="7"/>
  <c r="U187" i="7" s="1"/>
  <c r="S186" i="7"/>
  <c r="N186" i="7"/>
  <c r="U186" i="7" s="1"/>
  <c r="N185" i="7"/>
  <c r="U185" i="7" s="1"/>
  <c r="T184" i="7"/>
  <c r="N184" i="7"/>
  <c r="U184" i="7" s="1"/>
  <c r="T183" i="7"/>
  <c r="N183" i="7"/>
  <c r="U183" i="7" s="1"/>
  <c r="T182" i="7"/>
  <c r="N182" i="7"/>
  <c r="T181" i="7"/>
  <c r="N181" i="7"/>
  <c r="U181" i="7" s="1"/>
  <c r="T180" i="7"/>
  <c r="N180" i="7"/>
  <c r="U180" i="7" s="1"/>
  <c r="T179" i="7"/>
  <c r="N179" i="7"/>
  <c r="U179" i="7" s="1"/>
  <c r="T178" i="7"/>
  <c r="N178" i="7"/>
  <c r="U178" i="7" s="1"/>
  <c r="S177" i="7"/>
  <c r="N177" i="7"/>
  <c r="U177" i="7" s="1"/>
  <c r="T176" i="7"/>
  <c r="N176" i="7"/>
  <c r="U176" i="7" s="1"/>
  <c r="N175" i="7"/>
  <c r="U175" i="7" s="1"/>
  <c r="T174" i="7"/>
  <c r="N174" i="7"/>
  <c r="U174" i="7" s="1"/>
  <c r="T173" i="7"/>
  <c r="N173" i="7"/>
  <c r="U173" i="7" s="1"/>
  <c r="N172" i="7"/>
  <c r="U172" i="7" s="1"/>
  <c r="N171" i="7"/>
  <c r="U171" i="7" s="1"/>
  <c r="N170" i="7"/>
  <c r="U170" i="7" s="1"/>
  <c r="N169" i="7"/>
  <c r="U169" i="7" s="1"/>
  <c r="S168" i="7"/>
  <c r="N168" i="7"/>
  <c r="U168" i="7" s="1"/>
  <c r="N167" i="7"/>
  <c r="U167" i="7" s="1"/>
  <c r="N166" i="7"/>
  <c r="U166" i="7" s="1"/>
  <c r="N165" i="7"/>
  <c r="U165" i="7" s="1"/>
  <c r="L165" i="7"/>
  <c r="L164" i="7"/>
  <c r="N164" i="7" s="1"/>
  <c r="U164" i="7" s="1"/>
  <c r="N163" i="7"/>
  <c r="U163" i="7" s="1"/>
  <c r="S162" i="7"/>
  <c r="R162" i="7"/>
  <c r="M162" i="7"/>
  <c r="N162" i="7" s="1"/>
  <c r="U162" i="7" s="1"/>
  <c r="N161" i="7"/>
  <c r="U161" i="7" s="1"/>
  <c r="N160" i="7"/>
  <c r="U160" i="7" s="1"/>
  <c r="S159" i="7"/>
  <c r="N159" i="7"/>
  <c r="U159" i="7" s="1"/>
  <c r="N158" i="7"/>
  <c r="U158" i="7" s="1"/>
  <c r="M158" i="7"/>
  <c r="Q157" i="7"/>
  <c r="N157" i="7"/>
  <c r="U157" i="7" s="1"/>
  <c r="M156" i="7"/>
  <c r="N156" i="7" s="1"/>
  <c r="U156" i="7" s="1"/>
  <c r="L156" i="7"/>
  <c r="S155" i="7"/>
  <c r="N155" i="7"/>
  <c r="U155" i="7" s="1"/>
  <c r="M155" i="7"/>
  <c r="S154" i="7"/>
  <c r="N154" i="7"/>
  <c r="U154" i="7" s="1"/>
  <c r="O153" i="7"/>
  <c r="M153" i="7"/>
  <c r="N153" i="7" s="1"/>
  <c r="U153" i="7" s="1"/>
  <c r="N152" i="7"/>
  <c r="U152" i="7" s="1"/>
  <c r="R151" i="7"/>
  <c r="O151" i="7"/>
  <c r="N151" i="7"/>
  <c r="N150" i="7"/>
  <c r="U150" i="7" s="1"/>
  <c r="M150" i="7"/>
  <c r="L149" i="7"/>
  <c r="N149" i="7" s="1"/>
  <c r="U149" i="7" s="1"/>
  <c r="M148" i="7"/>
  <c r="N148" i="7" s="1"/>
  <c r="U148" i="7" s="1"/>
  <c r="O147" i="7"/>
  <c r="M147" i="7"/>
  <c r="L147" i="7"/>
  <c r="N147" i="7" s="1"/>
  <c r="U147" i="7" s="1"/>
  <c r="S146" i="7"/>
  <c r="R146" i="7"/>
  <c r="Q146" i="7"/>
  <c r="O146" i="7"/>
  <c r="N146" i="7"/>
  <c r="U146" i="7" s="1"/>
  <c r="M146" i="7"/>
  <c r="N145" i="7"/>
  <c r="U145" i="7" s="1"/>
  <c r="M145" i="7"/>
  <c r="N144" i="7"/>
  <c r="U144" i="7" s="1"/>
  <c r="N143" i="7"/>
  <c r="U143" i="7" s="1"/>
  <c r="N142" i="7"/>
  <c r="U142" i="7" s="1"/>
  <c r="M142" i="7"/>
  <c r="L142" i="7"/>
  <c r="N141" i="7"/>
  <c r="U141" i="7" s="1"/>
  <c r="N140" i="7"/>
  <c r="U140" i="7" s="1"/>
  <c r="N139" i="7"/>
  <c r="U139" i="7" s="1"/>
  <c r="N138" i="7"/>
  <c r="U138" i="7" s="1"/>
  <c r="N137" i="7"/>
  <c r="U137" i="7" s="1"/>
  <c r="N136" i="7"/>
  <c r="U136" i="7" s="1"/>
  <c r="M136" i="7"/>
  <c r="N135" i="7"/>
  <c r="U135" i="7" s="1"/>
  <c r="M134" i="7"/>
  <c r="N134" i="7" s="1"/>
  <c r="U134" i="7" s="1"/>
  <c r="N133" i="7"/>
  <c r="U133" i="7" s="1"/>
  <c r="N132" i="7"/>
  <c r="U132" i="7" s="1"/>
  <c r="N131" i="7"/>
  <c r="U131" i="7" s="1"/>
  <c r="N130" i="7"/>
  <c r="U130" i="7" s="1"/>
  <c r="N129" i="7"/>
  <c r="U129" i="7" s="1"/>
  <c r="N128" i="7"/>
  <c r="U128" i="7" s="1"/>
  <c r="N127" i="7"/>
  <c r="U127" i="7" s="1"/>
  <c r="N126" i="7"/>
  <c r="U126" i="7" s="1"/>
  <c r="N125" i="7"/>
  <c r="U125" i="7" s="1"/>
  <c r="N124" i="7"/>
  <c r="U124" i="7" s="1"/>
  <c r="N123" i="7"/>
  <c r="U123" i="7" s="1"/>
  <c r="N122" i="7"/>
  <c r="U122" i="7" s="1"/>
  <c r="N121" i="7"/>
  <c r="U121" i="7" s="1"/>
  <c r="N120" i="7"/>
  <c r="U120" i="7" s="1"/>
  <c r="N119" i="7"/>
  <c r="U119" i="7" s="1"/>
  <c r="N118" i="7"/>
  <c r="U118" i="7" s="1"/>
  <c r="N117" i="7"/>
  <c r="U117" i="7" s="1"/>
  <c r="T116" i="7"/>
  <c r="T224" i="7" s="1"/>
  <c r="S116" i="7"/>
  <c r="S224" i="7" s="1"/>
  <c r="R116" i="7"/>
  <c r="Q116" i="7"/>
  <c r="Q224" i="7" s="1"/>
  <c r="O116" i="7"/>
  <c r="O224" i="7" s="1"/>
  <c r="N116" i="7"/>
  <c r="U116" i="7" s="1"/>
  <c r="N115" i="7"/>
  <c r="U115" i="7" s="1"/>
  <c r="N114" i="7"/>
  <c r="U114" i="7" s="1"/>
  <c r="M114" i="7"/>
  <c r="N113" i="7"/>
  <c r="U113" i="7" s="1"/>
  <c r="R112" i="7"/>
  <c r="R224" i="7" s="1"/>
  <c r="M112" i="7"/>
  <c r="N112" i="7" s="1"/>
  <c r="U112" i="7" s="1"/>
  <c r="N111" i="7"/>
  <c r="U111" i="7" s="1"/>
  <c r="N110" i="7"/>
  <c r="U110" i="7" s="1"/>
  <c r="L110" i="7"/>
  <c r="N109" i="7"/>
  <c r="U109" i="7" s="1"/>
  <c r="N108" i="7"/>
  <c r="U108" i="7" s="1"/>
  <c r="N107" i="7"/>
  <c r="U107" i="7" s="1"/>
  <c r="N106" i="7"/>
  <c r="U106" i="7" s="1"/>
  <c r="N105" i="7"/>
  <c r="U105" i="7" s="1"/>
  <c r="M104" i="7"/>
  <c r="L104" i="7"/>
  <c r="N104" i="7" s="1"/>
  <c r="U104" i="7" s="1"/>
  <c r="N103" i="7"/>
  <c r="U103" i="7" s="1"/>
  <c r="N102" i="7"/>
  <c r="U102" i="7" s="1"/>
  <c r="N101" i="7"/>
  <c r="U101" i="7" s="1"/>
  <c r="M100" i="7"/>
  <c r="M224" i="7" s="1"/>
  <c r="L100" i="7"/>
  <c r="N100" i="7" s="1"/>
  <c r="U100" i="7" s="1"/>
  <c r="N99" i="7"/>
  <c r="U99" i="7" s="1"/>
  <c r="N98" i="7"/>
  <c r="U98" i="7" s="1"/>
  <c r="N97" i="7"/>
  <c r="U97" i="7" s="1"/>
  <c r="N96" i="7"/>
  <c r="U96" i="7" s="1"/>
  <c r="J96" i="7"/>
  <c r="J224" i="7" s="1"/>
  <c r="I96" i="7"/>
  <c r="I224" i="7" s="1"/>
  <c r="H96" i="7"/>
  <c r="N95" i="7"/>
  <c r="U95" i="7" s="1"/>
  <c r="N94" i="7"/>
  <c r="U94" i="7" s="1"/>
  <c r="N93" i="7"/>
  <c r="U93" i="7" s="1"/>
  <c r="N92" i="7"/>
  <c r="U92" i="7" s="1"/>
  <c r="N91" i="7"/>
  <c r="U91" i="7" s="1"/>
  <c r="N90" i="7"/>
  <c r="U90" i="7" s="1"/>
  <c r="N89" i="7"/>
  <c r="U89" i="7" s="1"/>
  <c r="L89" i="7"/>
  <c r="U88" i="7"/>
  <c r="N88" i="7"/>
  <c r="H88" i="7"/>
  <c r="L87" i="7"/>
  <c r="N87" i="7" s="1"/>
  <c r="U87" i="7" s="1"/>
  <c r="L86" i="7"/>
  <c r="L224" i="7" s="1"/>
  <c r="H86" i="7"/>
  <c r="H224" i="7" s="1"/>
  <c r="T84" i="7"/>
  <c r="S84" i="7"/>
  <c r="R84" i="7"/>
  <c r="Q84" i="7"/>
  <c r="N84" i="7"/>
  <c r="U84" i="7" s="1"/>
  <c r="Q83" i="7"/>
  <c r="N83" i="7"/>
  <c r="Q82" i="7"/>
  <c r="N82" i="7"/>
  <c r="U82" i="7" s="1"/>
  <c r="T81" i="7"/>
  <c r="S81" i="7"/>
  <c r="R81" i="7"/>
  <c r="Q81" i="7"/>
  <c r="N81" i="7"/>
  <c r="U81" i="7" s="1"/>
  <c r="T80" i="7"/>
  <c r="S80" i="7"/>
  <c r="Q80" i="7"/>
  <c r="O80" i="7"/>
  <c r="N80" i="7"/>
  <c r="N79" i="7"/>
  <c r="U79" i="7" s="1"/>
  <c r="T78" i="7"/>
  <c r="S78" i="7"/>
  <c r="R78" i="7"/>
  <c r="Q78" i="7"/>
  <c r="O78" i="7"/>
  <c r="M78" i="7"/>
  <c r="N78" i="7" s="1"/>
  <c r="U78" i="7" s="1"/>
  <c r="Q77" i="7"/>
  <c r="N77" i="7"/>
  <c r="T76" i="7"/>
  <c r="S76" i="7"/>
  <c r="R76" i="7"/>
  <c r="Q76" i="7"/>
  <c r="M76" i="7"/>
  <c r="N76" i="7" s="1"/>
  <c r="U76" i="7" s="1"/>
  <c r="L76" i="7"/>
  <c r="S75" i="7"/>
  <c r="R75" i="7"/>
  <c r="Q75" i="7"/>
  <c r="N75" i="7"/>
  <c r="U75" i="7" s="1"/>
  <c r="R74" i="7"/>
  <c r="Q74" i="7"/>
  <c r="L74" i="7"/>
  <c r="N74" i="7" s="1"/>
  <c r="U74" i="7" s="1"/>
  <c r="R73" i="7"/>
  <c r="N73" i="7"/>
  <c r="U73" i="7" s="1"/>
  <c r="R72" i="7"/>
  <c r="Q72" i="7"/>
  <c r="O72" i="7"/>
  <c r="N72" i="7"/>
  <c r="T71" i="7"/>
  <c r="S71" i="7"/>
  <c r="R71" i="7"/>
  <c r="Q71" i="7"/>
  <c r="N71" i="7"/>
  <c r="U71" i="7" s="1"/>
  <c r="L71" i="7"/>
  <c r="Q70" i="7"/>
  <c r="N70" i="7"/>
  <c r="U70" i="7" s="1"/>
  <c r="R69" i="7"/>
  <c r="N69" i="7"/>
  <c r="U69" i="7" s="1"/>
  <c r="N68" i="7"/>
  <c r="U68" i="7" s="1"/>
  <c r="N67" i="7"/>
  <c r="U67" i="7" s="1"/>
  <c r="M67" i="7"/>
  <c r="N66" i="7"/>
  <c r="U66" i="7" s="1"/>
  <c r="Q65" i="7"/>
  <c r="M65" i="7"/>
  <c r="N65" i="7" s="1"/>
  <c r="U65" i="7" s="1"/>
  <c r="M64" i="7"/>
  <c r="N64" i="7" s="1"/>
  <c r="U64" i="7" s="1"/>
  <c r="T63" i="7"/>
  <c r="S63" i="7"/>
  <c r="R63" i="7"/>
  <c r="Q63" i="7"/>
  <c r="N63" i="7"/>
  <c r="O62" i="7"/>
  <c r="M62" i="7"/>
  <c r="N62" i="7" s="1"/>
  <c r="U62" i="7" s="1"/>
  <c r="L62" i="7"/>
  <c r="O61" i="7"/>
  <c r="N61" i="7"/>
  <c r="M61" i="7"/>
  <c r="O60" i="7"/>
  <c r="N60" i="7"/>
  <c r="U60" i="7" s="1"/>
  <c r="M60" i="7"/>
  <c r="L60" i="7"/>
  <c r="N59" i="7"/>
  <c r="U59" i="7" s="1"/>
  <c r="S58" i="7"/>
  <c r="Q58" i="7"/>
  <c r="N58" i="7"/>
  <c r="U58" i="7" s="1"/>
  <c r="R57" i="7"/>
  <c r="N57" i="7"/>
  <c r="U57" i="7" s="1"/>
  <c r="Q56" i="7"/>
  <c r="N56" i="7"/>
  <c r="U56" i="7" s="1"/>
  <c r="N55" i="7"/>
  <c r="U55" i="7" s="1"/>
  <c r="N54" i="7"/>
  <c r="U54" i="7" s="1"/>
  <c r="P53" i="7"/>
  <c r="N53" i="7"/>
  <c r="U53" i="7" s="1"/>
  <c r="S52" i="7"/>
  <c r="S44" i="7" s="1"/>
  <c r="S85" i="7" s="1"/>
  <c r="S258" i="7" s="1"/>
  <c r="R52" i="7"/>
  <c r="Q52" i="7"/>
  <c r="N52" i="7"/>
  <c r="N51" i="7"/>
  <c r="U51" i="7" s="1"/>
  <c r="R50" i="7"/>
  <c r="Q50" i="7"/>
  <c r="Q44" i="7" s="1"/>
  <c r="Q85" i="7" s="1"/>
  <c r="Q258" i="7" s="1"/>
  <c r="N50" i="7"/>
  <c r="U50" i="7" s="1"/>
  <c r="M50" i="7"/>
  <c r="R49" i="7"/>
  <c r="R44" i="7" s="1"/>
  <c r="R85" i="7" s="1"/>
  <c r="R258" i="7" s="1"/>
  <c r="Q49" i="7"/>
  <c r="P49" i="7"/>
  <c r="O49" i="7"/>
  <c r="M49" i="7"/>
  <c r="N49" i="7" s="1"/>
  <c r="U49" i="7" s="1"/>
  <c r="Q48" i="7"/>
  <c r="P48" i="7"/>
  <c r="P44" i="7" s="1"/>
  <c r="P85" i="7" s="1"/>
  <c r="O48" i="7"/>
  <c r="O44" i="7" s="1"/>
  <c r="O85" i="7" s="1"/>
  <c r="L48" i="7"/>
  <c r="N48" i="7" s="1"/>
  <c r="U48" i="7" s="1"/>
  <c r="T47" i="7"/>
  <c r="Q47" i="7"/>
  <c r="L47" i="7"/>
  <c r="N47" i="7" s="1"/>
  <c r="U47" i="7" s="1"/>
  <c r="M46" i="7"/>
  <c r="N46" i="7" s="1"/>
  <c r="U46" i="7" s="1"/>
  <c r="T44" i="7"/>
  <c r="T85" i="7" s="1"/>
  <c r="T258" i="7" s="1"/>
  <c r="L44" i="7"/>
  <c r="L85" i="7" s="1"/>
  <c r="K44" i="7"/>
  <c r="K85" i="7" s="1"/>
  <c r="J44" i="7"/>
  <c r="J85" i="7" s="1"/>
  <c r="I44" i="7"/>
  <c r="H44" i="7"/>
  <c r="G44" i="7"/>
  <c r="G85" i="7" s="1"/>
  <c r="N43" i="7"/>
  <c r="U43" i="7" s="1"/>
  <c r="N42" i="7"/>
  <c r="U42" i="7" s="1"/>
  <c r="G42" i="7"/>
  <c r="O41" i="7"/>
  <c r="M41" i="7"/>
  <c r="L41" i="7"/>
  <c r="N41" i="7" s="1"/>
  <c r="U41" i="7" s="1"/>
  <c r="T40" i="7"/>
  <c r="S40" i="7"/>
  <c r="R40" i="7"/>
  <c r="O40" i="7"/>
  <c r="H40" i="7"/>
  <c r="N40" i="7" s="1"/>
  <c r="U40" i="7" s="1"/>
  <c r="S39" i="7"/>
  <c r="N39" i="7"/>
  <c r="T38" i="7"/>
  <c r="O38" i="7"/>
  <c r="N38" i="7"/>
  <c r="R37" i="7"/>
  <c r="N37" i="7"/>
  <c r="U37" i="7" s="1"/>
  <c r="M37" i="7"/>
  <c r="N36" i="7"/>
  <c r="U36" i="7" s="1"/>
  <c r="Q35" i="7"/>
  <c r="N35" i="7"/>
  <c r="U35" i="7" s="1"/>
  <c r="N34" i="7"/>
  <c r="U34" i="7" s="1"/>
  <c r="T33" i="7"/>
  <c r="S33" i="7"/>
  <c r="R33" i="7"/>
  <c r="Q33" i="7"/>
  <c r="O33" i="7"/>
  <c r="H33" i="7"/>
  <c r="N33" i="7" s="1"/>
  <c r="U33" i="7" s="1"/>
  <c r="O32" i="7"/>
  <c r="N32" i="7"/>
  <c r="U32" i="7" s="1"/>
  <c r="L32" i="7"/>
  <c r="L31" i="7"/>
  <c r="N31" i="7" s="1"/>
  <c r="U31" i="7" s="1"/>
  <c r="N30" i="7"/>
  <c r="U30" i="7" s="1"/>
  <c r="L30" i="7"/>
  <c r="R29" i="7"/>
  <c r="Q29" i="7"/>
  <c r="N29" i="7"/>
  <c r="U29" i="7" s="1"/>
  <c r="N28" i="7"/>
  <c r="U28" i="7" s="1"/>
  <c r="N27" i="7"/>
  <c r="U27" i="7" s="1"/>
  <c r="N26" i="7"/>
  <c r="U26" i="7" s="1"/>
  <c r="N25" i="7"/>
  <c r="U25" i="7" s="1"/>
  <c r="T24" i="7"/>
  <c r="S24" i="7"/>
  <c r="R24" i="7"/>
  <c r="Q24" i="7"/>
  <c r="N24" i="7"/>
  <c r="N23" i="7"/>
  <c r="U23" i="7" s="1"/>
  <c r="N22" i="7"/>
  <c r="U22" i="7" s="1"/>
  <c r="N21" i="7"/>
  <c r="U21" i="7" s="1"/>
  <c r="N20" i="7"/>
  <c r="U20" i="7" s="1"/>
  <c r="T19" i="7"/>
  <c r="S19" i="7"/>
  <c r="R19" i="7"/>
  <c r="Q19" i="7"/>
  <c r="O19" i="7"/>
  <c r="N19" i="7"/>
  <c r="U19" i="7" s="1"/>
  <c r="T18" i="7"/>
  <c r="S18" i="7"/>
  <c r="R18" i="7"/>
  <c r="Q18" i="7"/>
  <c r="O18" i="7"/>
  <c r="N18" i="7"/>
  <c r="U18" i="7" s="1"/>
  <c r="L17" i="7"/>
  <c r="H17" i="7"/>
  <c r="N17" i="7" s="1"/>
  <c r="U17" i="7" s="1"/>
  <c r="U214" i="7" l="1"/>
  <c r="N246" i="7"/>
  <c r="N251" i="7"/>
  <c r="U251" i="7" s="1"/>
  <c r="U38" i="7"/>
  <c r="U61" i="7"/>
  <c r="U80" i="7"/>
  <c r="U83" i="7"/>
  <c r="U52" i="7"/>
  <c r="U72" i="7"/>
  <c r="U39" i="7"/>
  <c r="U63" i="7"/>
  <c r="U77" i="7"/>
  <c r="U151" i="7"/>
  <c r="U182" i="7"/>
  <c r="U196" i="7"/>
  <c r="K252" i="7"/>
  <c r="U211" i="7"/>
  <c r="U24" i="7"/>
  <c r="G252" i="7"/>
  <c r="U246" i="7"/>
  <c r="R252" i="7"/>
  <c r="J252" i="7"/>
  <c r="S252" i="7"/>
  <c r="Q252" i="7"/>
  <c r="T252" i="7"/>
  <c r="O252" i="7"/>
  <c r="N241" i="7"/>
  <c r="P252" i="7"/>
  <c r="H85" i="7"/>
  <c r="H252" i="7" s="1"/>
  <c r="N86" i="7"/>
  <c r="U242" i="7"/>
  <c r="I85" i="7"/>
  <c r="I252" i="7" s="1"/>
  <c r="M44" i="7"/>
  <c r="M85" i="7" s="1"/>
  <c r="M252" i="7" s="1"/>
  <c r="U225" i="7"/>
  <c r="L241" i="7"/>
  <c r="L252" i="7" s="1"/>
  <c r="U219" i="6"/>
  <c r="T248" i="6"/>
  <c r="S248" i="6"/>
  <c r="R248" i="6"/>
  <c r="Q248" i="6"/>
  <c r="P248" i="6"/>
  <c r="O248" i="6"/>
  <c r="M248" i="6"/>
  <c r="L248" i="6"/>
  <c r="K248" i="6"/>
  <c r="J248" i="6"/>
  <c r="I248" i="6"/>
  <c r="H248" i="6"/>
  <c r="G248" i="6"/>
  <c r="N247" i="6"/>
  <c r="U247" i="6" s="1"/>
  <c r="N246" i="6"/>
  <c r="U246" i="6" s="1"/>
  <c r="N245" i="6"/>
  <c r="U245" i="6" s="1"/>
  <c r="N244" i="6"/>
  <c r="U244" i="6" s="1"/>
  <c r="T243" i="6"/>
  <c r="S243" i="6"/>
  <c r="R243" i="6"/>
  <c r="Q243" i="6"/>
  <c r="P243" i="6"/>
  <c r="O243" i="6"/>
  <c r="M243" i="6"/>
  <c r="L243" i="6"/>
  <c r="K243" i="6"/>
  <c r="J243" i="6"/>
  <c r="I243" i="6"/>
  <c r="H243" i="6"/>
  <c r="G243" i="6"/>
  <c r="N242" i="6"/>
  <c r="U242" i="6" s="1"/>
  <c r="N241" i="6"/>
  <c r="U241" i="6" s="1"/>
  <c r="N240" i="6"/>
  <c r="U240" i="6" s="1"/>
  <c r="N239" i="6"/>
  <c r="U239" i="6" s="1"/>
  <c r="T238" i="6"/>
  <c r="S238" i="6"/>
  <c r="R238" i="6"/>
  <c r="Q238" i="6"/>
  <c r="P238" i="6"/>
  <c r="K238" i="6"/>
  <c r="J238" i="6"/>
  <c r="I238" i="6"/>
  <c r="H238" i="6"/>
  <c r="G238" i="6"/>
  <c r="N237" i="6"/>
  <c r="U237" i="6" s="1"/>
  <c r="O236" i="6"/>
  <c r="N236" i="6"/>
  <c r="N235" i="6"/>
  <c r="U235" i="6" s="1"/>
  <c r="O234" i="6"/>
  <c r="M234" i="6"/>
  <c r="M238" i="6" s="1"/>
  <c r="L234" i="6"/>
  <c r="L238" i="6" s="1"/>
  <c r="N233" i="6"/>
  <c r="U233" i="6" s="1"/>
  <c r="N232" i="6"/>
  <c r="U232" i="6" s="1"/>
  <c r="N231" i="6"/>
  <c r="U231" i="6" s="1"/>
  <c r="N230" i="6"/>
  <c r="U230" i="6" s="1"/>
  <c r="N229" i="6"/>
  <c r="U229" i="6" s="1"/>
  <c r="N228" i="6"/>
  <c r="U228" i="6" s="1"/>
  <c r="N227" i="6"/>
  <c r="U227" i="6" s="1"/>
  <c r="N226" i="6"/>
  <c r="U226" i="6" s="1"/>
  <c r="N225" i="6"/>
  <c r="U225" i="6" s="1"/>
  <c r="N224" i="6"/>
  <c r="U224" i="6" s="1"/>
  <c r="N223" i="6"/>
  <c r="U223" i="6" s="1"/>
  <c r="O222" i="6"/>
  <c r="N222" i="6"/>
  <c r="P221" i="6"/>
  <c r="K221" i="6"/>
  <c r="G221" i="6"/>
  <c r="U220" i="6"/>
  <c r="N218" i="6"/>
  <c r="U218" i="6" s="1"/>
  <c r="N217" i="6"/>
  <c r="U217" i="6" s="1"/>
  <c r="S216" i="6"/>
  <c r="N216" i="6"/>
  <c r="S215" i="6"/>
  <c r="N215" i="6"/>
  <c r="U215" i="6" s="1"/>
  <c r="R214" i="6"/>
  <c r="N214" i="6"/>
  <c r="N213" i="6"/>
  <c r="U213" i="6" s="1"/>
  <c r="N212" i="6"/>
  <c r="U212" i="6" s="1"/>
  <c r="S211" i="6"/>
  <c r="N211" i="6"/>
  <c r="S210" i="6"/>
  <c r="N210" i="6"/>
  <c r="U210" i="6" s="1"/>
  <c r="N209" i="6"/>
  <c r="U209" i="6" s="1"/>
  <c r="S208" i="6"/>
  <c r="N208" i="6"/>
  <c r="R207" i="6"/>
  <c r="N207" i="6"/>
  <c r="R206" i="6"/>
  <c r="N206" i="6"/>
  <c r="Q205" i="6"/>
  <c r="N205" i="6"/>
  <c r="Q204" i="6"/>
  <c r="N204" i="6"/>
  <c r="Q203" i="6"/>
  <c r="N203" i="6"/>
  <c r="Q202" i="6"/>
  <c r="N202" i="6"/>
  <c r="U202" i="6" s="1"/>
  <c r="N201" i="6"/>
  <c r="U201" i="6" s="1"/>
  <c r="N200" i="6"/>
  <c r="U200" i="6" s="1"/>
  <c r="Q199" i="6"/>
  <c r="N199" i="6"/>
  <c r="N198" i="6"/>
  <c r="U198" i="6" s="1"/>
  <c r="Q197" i="6"/>
  <c r="N197" i="6"/>
  <c r="N196" i="6"/>
  <c r="U196" i="6" s="1"/>
  <c r="N195" i="6"/>
  <c r="U195" i="6" s="1"/>
  <c r="S194" i="6"/>
  <c r="N194" i="6"/>
  <c r="S193" i="6"/>
  <c r="N193" i="6"/>
  <c r="S192" i="6"/>
  <c r="N192" i="6"/>
  <c r="S191" i="6"/>
  <c r="N191" i="6"/>
  <c r="U191" i="6" s="1"/>
  <c r="N190" i="6"/>
  <c r="U190" i="6" s="1"/>
  <c r="S189" i="6"/>
  <c r="N189" i="6"/>
  <c r="S188" i="6"/>
  <c r="N188" i="6"/>
  <c r="S187" i="6"/>
  <c r="N187" i="6"/>
  <c r="U187" i="6" s="1"/>
  <c r="R186" i="6"/>
  <c r="N186" i="6"/>
  <c r="R185" i="6"/>
  <c r="N185" i="6"/>
  <c r="S184" i="6"/>
  <c r="N184" i="6"/>
  <c r="S183" i="6"/>
  <c r="N183" i="6"/>
  <c r="N182" i="6"/>
  <c r="U182" i="6" s="1"/>
  <c r="T181" i="6"/>
  <c r="N181" i="6"/>
  <c r="T180" i="6"/>
  <c r="N180" i="6"/>
  <c r="T179" i="6"/>
  <c r="N179" i="6"/>
  <c r="T178" i="6"/>
  <c r="N178" i="6"/>
  <c r="T177" i="6"/>
  <c r="N177" i="6"/>
  <c r="T176" i="6"/>
  <c r="N176" i="6"/>
  <c r="T175" i="6"/>
  <c r="N175" i="6"/>
  <c r="S174" i="6"/>
  <c r="N174" i="6"/>
  <c r="T173" i="6"/>
  <c r="N173" i="6"/>
  <c r="N172" i="6"/>
  <c r="U172" i="6" s="1"/>
  <c r="T171" i="6"/>
  <c r="N171" i="6"/>
  <c r="T170" i="6"/>
  <c r="N170" i="6"/>
  <c r="U170" i="6" s="1"/>
  <c r="N169" i="6"/>
  <c r="U169" i="6" s="1"/>
  <c r="N168" i="6"/>
  <c r="U168" i="6" s="1"/>
  <c r="N167" i="6"/>
  <c r="U167" i="6" s="1"/>
  <c r="N166" i="6"/>
  <c r="U166" i="6" s="1"/>
  <c r="S165" i="6"/>
  <c r="N165" i="6"/>
  <c r="N164" i="6"/>
  <c r="U164" i="6" s="1"/>
  <c r="N163" i="6"/>
  <c r="U163" i="6" s="1"/>
  <c r="L162" i="6"/>
  <c r="N162" i="6" s="1"/>
  <c r="U162" i="6" s="1"/>
  <c r="L161" i="6"/>
  <c r="N161" i="6" s="1"/>
  <c r="U161" i="6" s="1"/>
  <c r="N160" i="6"/>
  <c r="U160" i="6" s="1"/>
  <c r="S159" i="6"/>
  <c r="R159" i="6"/>
  <c r="Q159" i="6"/>
  <c r="M159" i="6"/>
  <c r="N159" i="6" s="1"/>
  <c r="N158" i="6"/>
  <c r="U158" i="6" s="1"/>
  <c r="N157" i="6"/>
  <c r="U157" i="6" s="1"/>
  <c r="S156" i="6"/>
  <c r="N156" i="6"/>
  <c r="M155" i="6"/>
  <c r="N155" i="6" s="1"/>
  <c r="U155" i="6" s="1"/>
  <c r="Q154" i="6"/>
  <c r="N154" i="6"/>
  <c r="M153" i="6"/>
  <c r="L153" i="6"/>
  <c r="S152" i="6"/>
  <c r="M152" i="6"/>
  <c r="N152" i="6" s="1"/>
  <c r="S151" i="6"/>
  <c r="N151" i="6"/>
  <c r="O150" i="6"/>
  <c r="M150" i="6"/>
  <c r="N150" i="6" s="1"/>
  <c r="N149" i="6"/>
  <c r="U149" i="6" s="1"/>
  <c r="R148" i="6"/>
  <c r="O148" i="6"/>
  <c r="N148" i="6"/>
  <c r="M147" i="6"/>
  <c r="N147" i="6" s="1"/>
  <c r="U147" i="6" s="1"/>
  <c r="L146" i="6"/>
  <c r="N146" i="6" s="1"/>
  <c r="U146" i="6" s="1"/>
  <c r="M145" i="6"/>
  <c r="N145" i="6" s="1"/>
  <c r="U145" i="6" s="1"/>
  <c r="O144" i="6"/>
  <c r="M144" i="6"/>
  <c r="L144" i="6"/>
  <c r="S143" i="6"/>
  <c r="R143" i="6"/>
  <c r="Q143" i="6"/>
  <c r="O143" i="6"/>
  <c r="M143" i="6"/>
  <c r="N143" i="6" s="1"/>
  <c r="M142" i="6"/>
  <c r="N142" i="6" s="1"/>
  <c r="U142" i="6" s="1"/>
  <c r="N141" i="6"/>
  <c r="U141" i="6" s="1"/>
  <c r="N140" i="6"/>
  <c r="U140" i="6" s="1"/>
  <c r="M139" i="6"/>
  <c r="L139" i="6"/>
  <c r="N138" i="6"/>
  <c r="U138" i="6" s="1"/>
  <c r="N137" i="6"/>
  <c r="U137" i="6" s="1"/>
  <c r="N136" i="6"/>
  <c r="U136" i="6" s="1"/>
  <c r="N135" i="6"/>
  <c r="U135" i="6" s="1"/>
  <c r="N134" i="6"/>
  <c r="U134" i="6" s="1"/>
  <c r="M133" i="6"/>
  <c r="N133" i="6" s="1"/>
  <c r="U133" i="6" s="1"/>
  <c r="N132" i="6"/>
  <c r="U132" i="6" s="1"/>
  <c r="M131" i="6"/>
  <c r="N131" i="6" s="1"/>
  <c r="U131" i="6" s="1"/>
  <c r="N130" i="6"/>
  <c r="U130" i="6" s="1"/>
  <c r="N129" i="6"/>
  <c r="U129" i="6" s="1"/>
  <c r="N128" i="6"/>
  <c r="U128" i="6" s="1"/>
  <c r="N127" i="6"/>
  <c r="U127" i="6" s="1"/>
  <c r="N126" i="6"/>
  <c r="U126" i="6" s="1"/>
  <c r="N125" i="6"/>
  <c r="U125" i="6" s="1"/>
  <c r="N124" i="6"/>
  <c r="U124" i="6" s="1"/>
  <c r="N123" i="6"/>
  <c r="U123" i="6" s="1"/>
  <c r="N122" i="6"/>
  <c r="U122" i="6" s="1"/>
  <c r="N121" i="6"/>
  <c r="U121" i="6" s="1"/>
  <c r="N120" i="6"/>
  <c r="U120" i="6" s="1"/>
  <c r="N119" i="6"/>
  <c r="U119" i="6" s="1"/>
  <c r="N118" i="6"/>
  <c r="U118" i="6" s="1"/>
  <c r="N117" i="6"/>
  <c r="U117" i="6" s="1"/>
  <c r="N116" i="6"/>
  <c r="U116" i="6" s="1"/>
  <c r="N115" i="6"/>
  <c r="U115" i="6" s="1"/>
  <c r="N114" i="6"/>
  <c r="U114" i="6" s="1"/>
  <c r="T113" i="6"/>
  <c r="S113" i="6"/>
  <c r="R113" i="6"/>
  <c r="Q113" i="6"/>
  <c r="O113" i="6"/>
  <c r="N113" i="6"/>
  <c r="N112" i="6"/>
  <c r="U112" i="6" s="1"/>
  <c r="M111" i="6"/>
  <c r="N111" i="6" s="1"/>
  <c r="U111" i="6" s="1"/>
  <c r="N110" i="6"/>
  <c r="U110" i="6" s="1"/>
  <c r="R109" i="6"/>
  <c r="M109" i="6"/>
  <c r="N109" i="6" s="1"/>
  <c r="N108" i="6"/>
  <c r="U108" i="6" s="1"/>
  <c r="L107" i="6"/>
  <c r="N107" i="6" s="1"/>
  <c r="U107" i="6" s="1"/>
  <c r="N106" i="6"/>
  <c r="U106" i="6" s="1"/>
  <c r="N105" i="6"/>
  <c r="U105" i="6" s="1"/>
  <c r="N104" i="6"/>
  <c r="U104" i="6" s="1"/>
  <c r="N103" i="6"/>
  <c r="U103" i="6" s="1"/>
  <c r="N102" i="6"/>
  <c r="U102" i="6" s="1"/>
  <c r="M101" i="6"/>
  <c r="L101" i="6"/>
  <c r="N100" i="6"/>
  <c r="U100" i="6" s="1"/>
  <c r="N99" i="6"/>
  <c r="U99" i="6" s="1"/>
  <c r="N98" i="6"/>
  <c r="U98" i="6" s="1"/>
  <c r="M97" i="6"/>
  <c r="L97" i="6"/>
  <c r="N96" i="6"/>
  <c r="U96" i="6" s="1"/>
  <c r="N95" i="6"/>
  <c r="U95" i="6" s="1"/>
  <c r="N94" i="6"/>
  <c r="U94" i="6" s="1"/>
  <c r="J93" i="6"/>
  <c r="J221" i="6" s="1"/>
  <c r="I93" i="6"/>
  <c r="I221" i="6" s="1"/>
  <c r="H93" i="6"/>
  <c r="N92" i="6"/>
  <c r="U92" i="6" s="1"/>
  <c r="N91" i="6"/>
  <c r="U91" i="6" s="1"/>
  <c r="N90" i="6"/>
  <c r="U90" i="6" s="1"/>
  <c r="N89" i="6"/>
  <c r="U89" i="6" s="1"/>
  <c r="N88" i="6"/>
  <c r="U88" i="6" s="1"/>
  <c r="N87" i="6"/>
  <c r="U87" i="6" s="1"/>
  <c r="L86" i="6"/>
  <c r="N86" i="6" s="1"/>
  <c r="U86" i="6" s="1"/>
  <c r="H85" i="6"/>
  <c r="L84" i="6"/>
  <c r="N84" i="6" s="1"/>
  <c r="U84" i="6" s="1"/>
  <c r="L83" i="6"/>
  <c r="H83" i="6"/>
  <c r="T81" i="6"/>
  <c r="S81" i="6"/>
  <c r="R81" i="6"/>
  <c r="Q81" i="6"/>
  <c r="N81" i="6"/>
  <c r="Q80" i="6"/>
  <c r="N80" i="6"/>
  <c r="Q79" i="6"/>
  <c r="N79" i="6"/>
  <c r="U79" i="6" s="1"/>
  <c r="T78" i="6"/>
  <c r="S78" i="6"/>
  <c r="R78" i="6"/>
  <c r="Q78" i="6"/>
  <c r="N78" i="6"/>
  <c r="T77" i="6"/>
  <c r="S77" i="6"/>
  <c r="R77" i="6"/>
  <c r="Q77" i="6"/>
  <c r="O77" i="6"/>
  <c r="N77" i="6"/>
  <c r="N76" i="6"/>
  <c r="U76" i="6" s="1"/>
  <c r="T75" i="6"/>
  <c r="S75" i="6"/>
  <c r="R75" i="6"/>
  <c r="Q75" i="6"/>
  <c r="O75" i="6"/>
  <c r="M75" i="6"/>
  <c r="N75" i="6" s="1"/>
  <c r="Q74" i="6"/>
  <c r="N74" i="6"/>
  <c r="T73" i="6"/>
  <c r="S73" i="6"/>
  <c r="R73" i="6"/>
  <c r="Q73" i="6"/>
  <c r="M73" i="6"/>
  <c r="L73" i="6"/>
  <c r="S72" i="6"/>
  <c r="R72" i="6"/>
  <c r="Q72" i="6"/>
  <c r="N72" i="6"/>
  <c r="R71" i="6"/>
  <c r="Q71" i="6"/>
  <c r="L71" i="6"/>
  <c r="N71" i="6" s="1"/>
  <c r="R70" i="6"/>
  <c r="N70" i="6"/>
  <c r="R69" i="6"/>
  <c r="Q69" i="6"/>
  <c r="O69" i="6"/>
  <c r="N69" i="6"/>
  <c r="T68" i="6"/>
  <c r="S68" i="6"/>
  <c r="R68" i="6"/>
  <c r="Q68" i="6"/>
  <c r="L68" i="6"/>
  <c r="N68" i="6" s="1"/>
  <c r="Q67" i="6"/>
  <c r="N67" i="6"/>
  <c r="R66" i="6"/>
  <c r="N66" i="6"/>
  <c r="U66" i="6" s="1"/>
  <c r="N65" i="6"/>
  <c r="U65" i="6" s="1"/>
  <c r="M64" i="6"/>
  <c r="N64" i="6" s="1"/>
  <c r="U64" i="6" s="1"/>
  <c r="N63" i="6"/>
  <c r="U63" i="6" s="1"/>
  <c r="Q62" i="6"/>
  <c r="M62" i="6"/>
  <c r="N62" i="6" s="1"/>
  <c r="M61" i="6"/>
  <c r="N61" i="6" s="1"/>
  <c r="U61" i="6" s="1"/>
  <c r="T60" i="6"/>
  <c r="S60" i="6"/>
  <c r="R60" i="6"/>
  <c r="Q60" i="6"/>
  <c r="N60" i="6"/>
  <c r="O59" i="6"/>
  <c r="M59" i="6"/>
  <c r="L59" i="6"/>
  <c r="O58" i="6"/>
  <c r="M58" i="6"/>
  <c r="N58" i="6" s="1"/>
  <c r="U58" i="6" s="1"/>
  <c r="O57" i="6"/>
  <c r="M57" i="6"/>
  <c r="L57" i="6"/>
  <c r="N56" i="6"/>
  <c r="U56" i="6" s="1"/>
  <c r="S55" i="6"/>
  <c r="Q55" i="6"/>
  <c r="N55" i="6"/>
  <c r="R54" i="6"/>
  <c r="N54" i="6"/>
  <c r="Q53" i="6"/>
  <c r="N53" i="6"/>
  <c r="N52" i="6"/>
  <c r="U52" i="6" s="1"/>
  <c r="N51" i="6"/>
  <c r="U51" i="6" s="1"/>
  <c r="P50" i="6"/>
  <c r="N50" i="6"/>
  <c r="S49" i="6"/>
  <c r="R49" i="6"/>
  <c r="Q49" i="6"/>
  <c r="N49" i="6"/>
  <c r="N48" i="6"/>
  <c r="U48" i="6" s="1"/>
  <c r="R47" i="6"/>
  <c r="Q47" i="6"/>
  <c r="M47" i="6"/>
  <c r="N47" i="6" s="1"/>
  <c r="R46" i="6"/>
  <c r="Q46" i="6"/>
  <c r="P46" i="6"/>
  <c r="O46" i="6"/>
  <c r="M46" i="6"/>
  <c r="Q45" i="6"/>
  <c r="P45" i="6"/>
  <c r="O45" i="6"/>
  <c r="L45" i="6"/>
  <c r="N45" i="6" s="1"/>
  <c r="T44" i="6"/>
  <c r="T41" i="6" s="1"/>
  <c r="Q44" i="6"/>
  <c r="L44" i="6"/>
  <c r="N44" i="6" s="1"/>
  <c r="M43" i="6"/>
  <c r="N43" i="6" s="1"/>
  <c r="U43" i="6" s="1"/>
  <c r="K41" i="6"/>
  <c r="K82" i="6" s="1"/>
  <c r="J41" i="6"/>
  <c r="J82" i="6" s="1"/>
  <c r="I41" i="6"/>
  <c r="I82" i="6" s="1"/>
  <c r="H41" i="6"/>
  <c r="G41" i="6"/>
  <c r="N40" i="6"/>
  <c r="U40" i="6" s="1"/>
  <c r="G39" i="6"/>
  <c r="N39" i="6" s="1"/>
  <c r="U39" i="6" s="1"/>
  <c r="O38" i="6"/>
  <c r="M38" i="6"/>
  <c r="L38" i="6"/>
  <c r="T37" i="6"/>
  <c r="S37" i="6"/>
  <c r="R37" i="6"/>
  <c r="O37" i="6"/>
  <c r="N37" i="6"/>
  <c r="H37" i="6"/>
  <c r="S36" i="6"/>
  <c r="N36" i="6"/>
  <c r="T35" i="6"/>
  <c r="O35" i="6"/>
  <c r="N35" i="6"/>
  <c r="R34" i="6"/>
  <c r="N34" i="6"/>
  <c r="M34" i="6"/>
  <c r="N33" i="6"/>
  <c r="U33" i="6" s="1"/>
  <c r="Q32" i="6"/>
  <c r="N32" i="6"/>
  <c r="U32" i="6" s="1"/>
  <c r="N31" i="6"/>
  <c r="U31" i="6" s="1"/>
  <c r="T30" i="6"/>
  <c r="S30" i="6"/>
  <c r="R30" i="6"/>
  <c r="Q30" i="6"/>
  <c r="O30" i="6"/>
  <c r="H30" i="6"/>
  <c r="N30" i="6" s="1"/>
  <c r="O29" i="6"/>
  <c r="L29" i="6"/>
  <c r="N29" i="6" s="1"/>
  <c r="L28" i="6"/>
  <c r="N28" i="6" s="1"/>
  <c r="U28" i="6" s="1"/>
  <c r="L27" i="6"/>
  <c r="N27" i="6" s="1"/>
  <c r="U27" i="6" s="1"/>
  <c r="R26" i="6"/>
  <c r="Q26" i="6"/>
  <c r="N26" i="6"/>
  <c r="U26" i="6" s="1"/>
  <c r="N25" i="6"/>
  <c r="U25" i="6" s="1"/>
  <c r="N24" i="6"/>
  <c r="U24" i="6" s="1"/>
  <c r="N23" i="6"/>
  <c r="U23" i="6" s="1"/>
  <c r="N22" i="6"/>
  <c r="U22" i="6" s="1"/>
  <c r="T21" i="6"/>
  <c r="S21" i="6"/>
  <c r="R21" i="6"/>
  <c r="Q21" i="6"/>
  <c r="N21" i="6"/>
  <c r="N20" i="6"/>
  <c r="U20" i="6" s="1"/>
  <c r="N19" i="6"/>
  <c r="U19" i="6" s="1"/>
  <c r="N18" i="6"/>
  <c r="U18" i="6" s="1"/>
  <c r="N17" i="6"/>
  <c r="U17" i="6" s="1"/>
  <c r="T16" i="6"/>
  <c r="S16" i="6"/>
  <c r="R16" i="6"/>
  <c r="Q16" i="6"/>
  <c r="O16" i="6"/>
  <c r="N16" i="6"/>
  <c r="T15" i="6"/>
  <c r="S15" i="6"/>
  <c r="R15" i="6"/>
  <c r="Q15" i="6"/>
  <c r="O15" i="6"/>
  <c r="N15" i="6"/>
  <c r="L14" i="6"/>
  <c r="H14" i="6"/>
  <c r="R259" i="7" l="1"/>
  <c r="R260" i="7" s="1"/>
  <c r="R261" i="7"/>
  <c r="T261" i="7"/>
  <c r="T259" i="7"/>
  <c r="T260" i="7" s="1"/>
  <c r="Q259" i="7"/>
  <c r="Q260" i="7" s="1"/>
  <c r="Q261" i="7"/>
  <c r="S261" i="7"/>
  <c r="S259" i="7"/>
  <c r="S260" i="7" s="1"/>
  <c r="U241" i="7"/>
  <c r="N44" i="7"/>
  <c r="N224" i="7"/>
  <c r="U86" i="7"/>
  <c r="U224" i="7" s="1"/>
  <c r="U15" i="6"/>
  <c r="N38" i="6"/>
  <c r="U38" i="6" s="1"/>
  <c r="U156" i="6"/>
  <c r="U173" i="6"/>
  <c r="U177" i="6"/>
  <c r="U181" i="6"/>
  <c r="U214" i="6"/>
  <c r="O41" i="6"/>
  <c r="O82" i="6" s="1"/>
  <c r="U68" i="6"/>
  <c r="H221" i="6"/>
  <c r="N93" i="6"/>
  <c r="U93" i="6" s="1"/>
  <c r="N139" i="6"/>
  <c r="U139" i="6" s="1"/>
  <c r="U152" i="6"/>
  <c r="N57" i="6"/>
  <c r="U57" i="6" s="1"/>
  <c r="U75" i="6"/>
  <c r="U29" i="6"/>
  <c r="U45" i="6"/>
  <c r="R41" i="6"/>
  <c r="U54" i="6"/>
  <c r="U71" i="6"/>
  <c r="U192" i="6"/>
  <c r="U216" i="6"/>
  <c r="N153" i="6"/>
  <c r="U153" i="6" s="1"/>
  <c r="N234" i="6"/>
  <c r="U234" i="6" s="1"/>
  <c r="Q221" i="6"/>
  <c r="L41" i="6"/>
  <c r="P41" i="6"/>
  <c r="P82" i="6" s="1"/>
  <c r="P249" i="6" s="1"/>
  <c r="U47" i="6"/>
  <c r="U50" i="6"/>
  <c r="U55" i="6"/>
  <c r="R221" i="6"/>
  <c r="R249" i="6" s="1"/>
  <c r="U171" i="6"/>
  <c r="U184" i="6"/>
  <c r="U188" i="6"/>
  <c r="U203" i="6"/>
  <c r="U207" i="6"/>
  <c r="L221" i="6"/>
  <c r="U176" i="6"/>
  <c r="O238" i="6"/>
  <c r="R82" i="6"/>
  <c r="R254" i="6" s="1"/>
  <c r="U44" i="6"/>
  <c r="U78" i="6"/>
  <c r="M221" i="6"/>
  <c r="U151" i="6"/>
  <c r="U185" i="6"/>
  <c r="U189" i="6"/>
  <c r="U236" i="6"/>
  <c r="U37" i="6"/>
  <c r="U179" i="6"/>
  <c r="U165" i="6"/>
  <c r="U159" i="6"/>
  <c r="U35" i="6"/>
  <c r="S41" i="6"/>
  <c r="S82" i="6" s="1"/>
  <c r="S254" i="6" s="1"/>
  <c r="U70" i="6"/>
  <c r="U74" i="6"/>
  <c r="U81" i="6"/>
  <c r="N97" i="6"/>
  <c r="U97" i="6" s="1"/>
  <c r="T221" i="6"/>
  <c r="U143" i="6"/>
  <c r="U150" i="6"/>
  <c r="U154" i="6"/>
  <c r="U175" i="6"/>
  <c r="U205" i="6"/>
  <c r="U206" i="6"/>
  <c r="U30" i="6"/>
  <c r="H82" i="6"/>
  <c r="H249" i="6" s="1"/>
  <c r="M41" i="6"/>
  <c r="M82" i="6" s="1"/>
  <c r="M249" i="6" s="1"/>
  <c r="U113" i="6"/>
  <c r="U180" i="6"/>
  <c r="U197" i="6"/>
  <c r="L82" i="6"/>
  <c r="L249" i="6" s="1"/>
  <c r="O221" i="6"/>
  <c r="O249" i="6" s="1"/>
  <c r="S221" i="6"/>
  <c r="U148" i="6"/>
  <c r="Q41" i="6"/>
  <c r="Q82" i="6" s="1"/>
  <c r="Q254" i="6" s="1"/>
  <c r="N14" i="6"/>
  <c r="U14" i="6" s="1"/>
  <c r="T82" i="6"/>
  <c r="T254" i="6" s="1"/>
  <c r="U53" i="6"/>
  <c r="N59" i="6"/>
  <c r="U59" i="6" s="1"/>
  <c r="U67" i="6"/>
  <c r="U72" i="6"/>
  <c r="N101" i="6"/>
  <c r="U101" i="6" s="1"/>
  <c r="N144" i="6"/>
  <c r="U144" i="6" s="1"/>
  <c r="U186" i="6"/>
  <c r="U222" i="6"/>
  <c r="N73" i="6"/>
  <c r="U73" i="6" s="1"/>
  <c r="U34" i="6"/>
  <c r="U62" i="6"/>
  <c r="U109" i="6"/>
  <c r="U174" i="6"/>
  <c r="U178" i="6"/>
  <c r="U199" i="6"/>
  <c r="U204" i="6"/>
  <c r="U211" i="6"/>
  <c r="U16" i="6"/>
  <c r="U49" i="6"/>
  <c r="U69" i="6"/>
  <c r="U183" i="6"/>
  <c r="U193" i="6"/>
  <c r="U208" i="6"/>
  <c r="N248" i="6"/>
  <c r="U248" i="6" s="1"/>
  <c r="J249" i="6"/>
  <c r="U194" i="6"/>
  <c r="N243" i="6"/>
  <c r="U243" i="6" s="1"/>
  <c r="U80" i="6"/>
  <c r="U77" i="6"/>
  <c r="N41" i="6"/>
  <c r="U41" i="6" s="1"/>
  <c r="U21" i="6"/>
  <c r="U36" i="6"/>
  <c r="U60" i="6"/>
  <c r="K249" i="6"/>
  <c r="I249" i="6"/>
  <c r="N85" i="6"/>
  <c r="U85" i="6" s="1"/>
  <c r="N238" i="6"/>
  <c r="N83" i="6"/>
  <c r="G82" i="6"/>
  <c r="G249" i="6" s="1"/>
  <c r="N46" i="6"/>
  <c r="U46" i="6" s="1"/>
  <c r="Q72" i="5"/>
  <c r="U72" i="5" s="1"/>
  <c r="T245" i="5"/>
  <c r="S245" i="5"/>
  <c r="R245" i="5"/>
  <c r="Q245" i="5"/>
  <c r="P245" i="5"/>
  <c r="O245" i="5"/>
  <c r="M245" i="5"/>
  <c r="L245" i="5"/>
  <c r="K245" i="5"/>
  <c r="J245" i="5"/>
  <c r="I245" i="5"/>
  <c r="H245" i="5"/>
  <c r="G245" i="5"/>
  <c r="N244" i="5"/>
  <c r="U244" i="5" s="1"/>
  <c r="N243" i="5"/>
  <c r="U243" i="5" s="1"/>
  <c r="U242" i="5"/>
  <c r="N242" i="5"/>
  <c r="N241" i="5"/>
  <c r="U241" i="5" s="1"/>
  <c r="T240" i="5"/>
  <c r="S240" i="5"/>
  <c r="R240" i="5"/>
  <c r="Q240" i="5"/>
  <c r="P240" i="5"/>
  <c r="O240" i="5"/>
  <c r="M240" i="5"/>
  <c r="L240" i="5"/>
  <c r="K240" i="5"/>
  <c r="J240" i="5"/>
  <c r="I240" i="5"/>
  <c r="H240" i="5"/>
  <c r="G240" i="5"/>
  <c r="N239" i="5"/>
  <c r="U239" i="5" s="1"/>
  <c r="N238" i="5"/>
  <c r="U238" i="5" s="1"/>
  <c r="N237" i="5"/>
  <c r="U237" i="5" s="1"/>
  <c r="N236" i="5"/>
  <c r="U236" i="5" s="1"/>
  <c r="T235" i="5"/>
  <c r="S235" i="5"/>
  <c r="R235" i="5"/>
  <c r="Q235" i="5"/>
  <c r="P235" i="5"/>
  <c r="M235" i="5"/>
  <c r="K235" i="5"/>
  <c r="J235" i="5"/>
  <c r="I235" i="5"/>
  <c r="H235" i="5"/>
  <c r="G235" i="5"/>
  <c r="N234" i="5"/>
  <c r="U234" i="5" s="1"/>
  <c r="O233" i="5"/>
  <c r="N233" i="5"/>
  <c r="U233" i="5" s="1"/>
  <c r="N232" i="5"/>
  <c r="U232" i="5" s="1"/>
  <c r="O231" i="5"/>
  <c r="M231" i="5"/>
  <c r="L231" i="5"/>
  <c r="N231" i="5" s="1"/>
  <c r="U231" i="5" s="1"/>
  <c r="N230" i="5"/>
  <c r="U230" i="5" s="1"/>
  <c r="U229" i="5"/>
  <c r="N229" i="5"/>
  <c r="N228" i="5"/>
  <c r="U228" i="5" s="1"/>
  <c r="N227" i="5"/>
  <c r="U227" i="5" s="1"/>
  <c r="N226" i="5"/>
  <c r="U226" i="5" s="1"/>
  <c r="N225" i="5"/>
  <c r="U225" i="5" s="1"/>
  <c r="N224" i="5"/>
  <c r="U224" i="5" s="1"/>
  <c r="N223" i="5"/>
  <c r="U223" i="5" s="1"/>
  <c r="N222" i="5"/>
  <c r="U222" i="5" s="1"/>
  <c r="N221" i="5"/>
  <c r="U221" i="5" s="1"/>
  <c r="N220" i="5"/>
  <c r="U220" i="5" s="1"/>
  <c r="O219" i="5"/>
  <c r="O235" i="5" s="1"/>
  <c r="N219" i="5"/>
  <c r="P218" i="5"/>
  <c r="K218" i="5"/>
  <c r="G218" i="5"/>
  <c r="U217" i="5"/>
  <c r="N216" i="5"/>
  <c r="U216" i="5" s="1"/>
  <c r="U215" i="5"/>
  <c r="N215" i="5"/>
  <c r="S214" i="5"/>
  <c r="N214" i="5"/>
  <c r="U214" i="5" s="1"/>
  <c r="S213" i="5"/>
  <c r="N213" i="5"/>
  <c r="U213" i="5" s="1"/>
  <c r="R212" i="5"/>
  <c r="N212" i="5"/>
  <c r="U212" i="5" s="1"/>
  <c r="N211" i="5"/>
  <c r="U211" i="5" s="1"/>
  <c r="N210" i="5"/>
  <c r="U210" i="5" s="1"/>
  <c r="S209" i="5"/>
  <c r="N209" i="5"/>
  <c r="U209" i="5" s="1"/>
  <c r="S208" i="5"/>
  <c r="N208" i="5"/>
  <c r="U208" i="5" s="1"/>
  <c r="N207" i="5"/>
  <c r="U207" i="5" s="1"/>
  <c r="S206" i="5"/>
  <c r="N206" i="5"/>
  <c r="U206" i="5" s="1"/>
  <c r="R205" i="5"/>
  <c r="N205" i="5"/>
  <c r="U205" i="5" s="1"/>
  <c r="R204" i="5"/>
  <c r="N204" i="5"/>
  <c r="U204" i="5" s="1"/>
  <c r="Q203" i="5"/>
  <c r="N203" i="5"/>
  <c r="U203" i="5" s="1"/>
  <c r="Q202" i="5"/>
  <c r="U202" i="5" s="1"/>
  <c r="N202" i="5"/>
  <c r="Q201" i="5"/>
  <c r="N201" i="5"/>
  <c r="U201" i="5" s="1"/>
  <c r="Q200" i="5"/>
  <c r="N200" i="5"/>
  <c r="U200" i="5" s="1"/>
  <c r="N199" i="5"/>
  <c r="U199" i="5" s="1"/>
  <c r="N198" i="5"/>
  <c r="U198" i="5" s="1"/>
  <c r="Q197" i="5"/>
  <c r="N197" i="5"/>
  <c r="U197" i="5" s="1"/>
  <c r="N196" i="5"/>
  <c r="U196" i="5" s="1"/>
  <c r="Q195" i="5"/>
  <c r="N195" i="5"/>
  <c r="U195" i="5" s="1"/>
  <c r="N194" i="5"/>
  <c r="U194" i="5" s="1"/>
  <c r="N193" i="5"/>
  <c r="U193" i="5" s="1"/>
  <c r="S192" i="5"/>
  <c r="N192" i="5"/>
  <c r="U192" i="5" s="1"/>
  <c r="U191" i="5"/>
  <c r="S191" i="5"/>
  <c r="N191" i="5"/>
  <c r="S190" i="5"/>
  <c r="N190" i="5"/>
  <c r="U190" i="5" s="1"/>
  <c r="S189" i="5"/>
  <c r="N189" i="5"/>
  <c r="U189" i="5" s="1"/>
  <c r="N188" i="5"/>
  <c r="U188" i="5" s="1"/>
  <c r="S187" i="5"/>
  <c r="N187" i="5"/>
  <c r="U187" i="5" s="1"/>
  <c r="S186" i="5"/>
  <c r="N186" i="5"/>
  <c r="U186" i="5" s="1"/>
  <c r="S185" i="5"/>
  <c r="N185" i="5"/>
  <c r="U185" i="5" s="1"/>
  <c r="R184" i="5"/>
  <c r="U184" i="5" s="1"/>
  <c r="N184" i="5"/>
  <c r="R183" i="5"/>
  <c r="N183" i="5"/>
  <c r="U183" i="5" s="1"/>
  <c r="S182" i="5"/>
  <c r="N182" i="5"/>
  <c r="U182" i="5" s="1"/>
  <c r="S181" i="5"/>
  <c r="N181" i="5"/>
  <c r="U181" i="5" s="1"/>
  <c r="N180" i="5"/>
  <c r="U180" i="5" s="1"/>
  <c r="T179" i="5"/>
  <c r="N179" i="5"/>
  <c r="U179" i="5" s="1"/>
  <c r="T178" i="5"/>
  <c r="N178" i="5"/>
  <c r="U178" i="5" s="1"/>
  <c r="T177" i="5"/>
  <c r="N177" i="5"/>
  <c r="U177" i="5" s="1"/>
  <c r="T176" i="5"/>
  <c r="N176" i="5"/>
  <c r="U176" i="5" s="1"/>
  <c r="T175" i="5"/>
  <c r="N175" i="5"/>
  <c r="U175" i="5" s="1"/>
  <c r="U174" i="5"/>
  <c r="T174" i="5"/>
  <c r="N174" i="5"/>
  <c r="T173" i="5"/>
  <c r="N173" i="5"/>
  <c r="S172" i="5"/>
  <c r="N172" i="5"/>
  <c r="U172" i="5" s="1"/>
  <c r="T171" i="5"/>
  <c r="N171" i="5"/>
  <c r="U171" i="5" s="1"/>
  <c r="N170" i="5"/>
  <c r="U170" i="5" s="1"/>
  <c r="T169" i="5"/>
  <c r="N169" i="5"/>
  <c r="U169" i="5" s="1"/>
  <c r="T168" i="5"/>
  <c r="N168" i="5"/>
  <c r="U168" i="5" s="1"/>
  <c r="N167" i="5"/>
  <c r="U167" i="5" s="1"/>
  <c r="N166" i="5"/>
  <c r="U166" i="5" s="1"/>
  <c r="N165" i="5"/>
  <c r="U165" i="5" s="1"/>
  <c r="N164" i="5"/>
  <c r="U164" i="5" s="1"/>
  <c r="U163" i="5"/>
  <c r="S163" i="5"/>
  <c r="N163" i="5"/>
  <c r="N162" i="5"/>
  <c r="U162" i="5" s="1"/>
  <c r="N161" i="5"/>
  <c r="U161" i="5" s="1"/>
  <c r="N160" i="5"/>
  <c r="U160" i="5" s="1"/>
  <c r="L160" i="5"/>
  <c r="N159" i="5"/>
  <c r="U159" i="5" s="1"/>
  <c r="L159" i="5"/>
  <c r="N158" i="5"/>
  <c r="U158" i="5" s="1"/>
  <c r="S157" i="5"/>
  <c r="R157" i="5"/>
  <c r="Q157" i="5"/>
  <c r="N157" i="5"/>
  <c r="U157" i="5" s="1"/>
  <c r="M157" i="5"/>
  <c r="N156" i="5"/>
  <c r="U156" i="5" s="1"/>
  <c r="N155" i="5"/>
  <c r="U155" i="5" s="1"/>
  <c r="S154" i="5"/>
  <c r="N154" i="5"/>
  <c r="U154" i="5" s="1"/>
  <c r="N153" i="5"/>
  <c r="U153" i="5" s="1"/>
  <c r="M153" i="5"/>
  <c r="Q152" i="5"/>
  <c r="N152" i="5"/>
  <c r="N151" i="5"/>
  <c r="U151" i="5" s="1"/>
  <c r="M151" i="5"/>
  <c r="L151" i="5"/>
  <c r="S150" i="5"/>
  <c r="N150" i="5"/>
  <c r="U150" i="5" s="1"/>
  <c r="M150" i="5"/>
  <c r="S149" i="5"/>
  <c r="N149" i="5"/>
  <c r="U149" i="5" s="1"/>
  <c r="O148" i="5"/>
  <c r="M148" i="5"/>
  <c r="N148" i="5" s="1"/>
  <c r="U148" i="5" s="1"/>
  <c r="N147" i="5"/>
  <c r="U147" i="5" s="1"/>
  <c r="U146" i="5"/>
  <c r="R146" i="5"/>
  <c r="O146" i="5"/>
  <c r="N146" i="5"/>
  <c r="N145" i="5"/>
  <c r="U145" i="5" s="1"/>
  <c r="M145" i="5"/>
  <c r="N144" i="5"/>
  <c r="U144" i="5" s="1"/>
  <c r="L144" i="5"/>
  <c r="M143" i="5"/>
  <c r="N143" i="5" s="1"/>
  <c r="U143" i="5" s="1"/>
  <c r="O142" i="5"/>
  <c r="M142" i="5"/>
  <c r="L142" i="5"/>
  <c r="N142" i="5" s="1"/>
  <c r="U142" i="5" s="1"/>
  <c r="S141" i="5"/>
  <c r="R141" i="5"/>
  <c r="Q141" i="5"/>
  <c r="O141" i="5"/>
  <c r="M141" i="5"/>
  <c r="N141" i="5" s="1"/>
  <c r="U141" i="5" s="1"/>
  <c r="U140" i="5"/>
  <c r="N140" i="5"/>
  <c r="M140" i="5"/>
  <c r="N139" i="5"/>
  <c r="U139" i="5" s="1"/>
  <c r="N138" i="5"/>
  <c r="U138" i="5" s="1"/>
  <c r="N137" i="5"/>
  <c r="U137" i="5" s="1"/>
  <c r="M137" i="5"/>
  <c r="L137" i="5"/>
  <c r="N136" i="5"/>
  <c r="U136" i="5" s="1"/>
  <c r="N135" i="5"/>
  <c r="U135" i="5" s="1"/>
  <c r="N134" i="5"/>
  <c r="U134" i="5" s="1"/>
  <c r="N133" i="5"/>
  <c r="U133" i="5" s="1"/>
  <c r="N132" i="5"/>
  <c r="U132" i="5" s="1"/>
  <c r="M131" i="5"/>
  <c r="N131" i="5" s="1"/>
  <c r="U131" i="5" s="1"/>
  <c r="N130" i="5"/>
  <c r="U130" i="5" s="1"/>
  <c r="M129" i="5"/>
  <c r="N129" i="5" s="1"/>
  <c r="U129" i="5" s="1"/>
  <c r="N128" i="5"/>
  <c r="U128" i="5" s="1"/>
  <c r="N127" i="5"/>
  <c r="U127" i="5" s="1"/>
  <c r="N126" i="5"/>
  <c r="U126" i="5" s="1"/>
  <c r="N125" i="5"/>
  <c r="U125" i="5" s="1"/>
  <c r="N124" i="5"/>
  <c r="U124" i="5" s="1"/>
  <c r="N123" i="5"/>
  <c r="U123" i="5" s="1"/>
  <c r="N122" i="5"/>
  <c r="U122" i="5" s="1"/>
  <c r="N121" i="5"/>
  <c r="U121" i="5" s="1"/>
  <c r="N120" i="5"/>
  <c r="U120" i="5" s="1"/>
  <c r="N119" i="5"/>
  <c r="U119" i="5" s="1"/>
  <c r="N118" i="5"/>
  <c r="U118" i="5" s="1"/>
  <c r="N117" i="5"/>
  <c r="U117" i="5" s="1"/>
  <c r="N116" i="5"/>
  <c r="U116" i="5" s="1"/>
  <c r="U115" i="5"/>
  <c r="N115" i="5"/>
  <c r="N114" i="5"/>
  <c r="U114" i="5" s="1"/>
  <c r="N113" i="5"/>
  <c r="U113" i="5" s="1"/>
  <c r="N112" i="5"/>
  <c r="U112" i="5" s="1"/>
  <c r="T111" i="5"/>
  <c r="T218" i="5" s="1"/>
  <c r="S111" i="5"/>
  <c r="S218" i="5" s="1"/>
  <c r="R111" i="5"/>
  <c r="Q111" i="5"/>
  <c r="Q218" i="5" s="1"/>
  <c r="O111" i="5"/>
  <c r="N111" i="5"/>
  <c r="N110" i="5"/>
  <c r="U110" i="5" s="1"/>
  <c r="U109" i="5"/>
  <c r="N109" i="5"/>
  <c r="M109" i="5"/>
  <c r="N108" i="5"/>
  <c r="U108" i="5" s="1"/>
  <c r="R107" i="5"/>
  <c r="R218" i="5" s="1"/>
  <c r="N107" i="5"/>
  <c r="U107" i="5" s="1"/>
  <c r="M107" i="5"/>
  <c r="N106" i="5"/>
  <c r="U106" i="5" s="1"/>
  <c r="N105" i="5"/>
  <c r="U105" i="5" s="1"/>
  <c r="L105" i="5"/>
  <c r="N104" i="5"/>
  <c r="U104" i="5" s="1"/>
  <c r="U103" i="5"/>
  <c r="N103" i="5"/>
  <c r="N102" i="5"/>
  <c r="U102" i="5" s="1"/>
  <c r="N101" i="5"/>
  <c r="U101" i="5" s="1"/>
  <c r="N100" i="5"/>
  <c r="U100" i="5" s="1"/>
  <c r="N99" i="5"/>
  <c r="U99" i="5" s="1"/>
  <c r="M99" i="5"/>
  <c r="L99" i="5"/>
  <c r="N98" i="5"/>
  <c r="U98" i="5" s="1"/>
  <c r="N97" i="5"/>
  <c r="U97" i="5" s="1"/>
  <c r="N96" i="5"/>
  <c r="U96" i="5" s="1"/>
  <c r="M95" i="5"/>
  <c r="M218" i="5" s="1"/>
  <c r="L95" i="5"/>
  <c r="N94" i="5"/>
  <c r="U94" i="5" s="1"/>
  <c r="N93" i="5"/>
  <c r="U93" i="5" s="1"/>
  <c r="N92" i="5"/>
  <c r="U92" i="5" s="1"/>
  <c r="J91" i="5"/>
  <c r="J218" i="5" s="1"/>
  <c r="I91" i="5"/>
  <c r="I218" i="5" s="1"/>
  <c r="H91" i="5"/>
  <c r="N91" i="5" s="1"/>
  <c r="U91" i="5" s="1"/>
  <c r="U90" i="5"/>
  <c r="N90" i="5"/>
  <c r="N89" i="5"/>
  <c r="U89" i="5" s="1"/>
  <c r="N88" i="5"/>
  <c r="U88" i="5" s="1"/>
  <c r="U87" i="5"/>
  <c r="N87" i="5"/>
  <c r="N86" i="5"/>
  <c r="U86" i="5" s="1"/>
  <c r="N85" i="5"/>
  <c r="U85" i="5" s="1"/>
  <c r="L84" i="5"/>
  <c r="N84" i="5" s="1"/>
  <c r="U84" i="5" s="1"/>
  <c r="N83" i="5"/>
  <c r="U83" i="5" s="1"/>
  <c r="H83" i="5"/>
  <c r="N82" i="5"/>
  <c r="U82" i="5" s="1"/>
  <c r="L82" i="5"/>
  <c r="N81" i="5"/>
  <c r="L81" i="5"/>
  <c r="L218" i="5" s="1"/>
  <c r="H81" i="5"/>
  <c r="H218" i="5" s="1"/>
  <c r="T79" i="5"/>
  <c r="S79" i="5"/>
  <c r="R79" i="5"/>
  <c r="Q79" i="5"/>
  <c r="N79" i="5"/>
  <c r="Q78" i="5"/>
  <c r="N78" i="5"/>
  <c r="U78" i="5" s="1"/>
  <c r="Q77" i="5"/>
  <c r="N77" i="5"/>
  <c r="U77" i="5" s="1"/>
  <c r="T76" i="5"/>
  <c r="S76" i="5"/>
  <c r="R76" i="5"/>
  <c r="Q76" i="5"/>
  <c r="N76" i="5"/>
  <c r="U76" i="5" s="1"/>
  <c r="T75" i="5"/>
  <c r="S75" i="5"/>
  <c r="R75" i="5"/>
  <c r="Q75" i="5"/>
  <c r="O75" i="5"/>
  <c r="N75" i="5"/>
  <c r="U75" i="5" s="1"/>
  <c r="N74" i="5"/>
  <c r="U74" i="5" s="1"/>
  <c r="T73" i="5"/>
  <c r="S73" i="5"/>
  <c r="R73" i="5"/>
  <c r="Q73" i="5"/>
  <c r="O73" i="5"/>
  <c r="M73" i="5"/>
  <c r="N73" i="5" s="1"/>
  <c r="U73" i="5" s="1"/>
  <c r="N72" i="5"/>
  <c r="T71" i="5"/>
  <c r="S71" i="5"/>
  <c r="R71" i="5"/>
  <c r="Q71" i="5"/>
  <c r="N71" i="5"/>
  <c r="U71" i="5" s="1"/>
  <c r="M71" i="5"/>
  <c r="L71" i="5"/>
  <c r="U70" i="5"/>
  <c r="S70" i="5"/>
  <c r="R70" i="5"/>
  <c r="Q70" i="5"/>
  <c r="N70" i="5"/>
  <c r="R69" i="5"/>
  <c r="Q69" i="5"/>
  <c r="N69" i="5"/>
  <c r="U69" i="5" s="1"/>
  <c r="L69" i="5"/>
  <c r="U68" i="5"/>
  <c r="R68" i="5"/>
  <c r="N68" i="5"/>
  <c r="R67" i="5"/>
  <c r="Q67" i="5"/>
  <c r="O67" i="5"/>
  <c r="N67" i="5"/>
  <c r="U67" i="5" s="1"/>
  <c r="T66" i="5"/>
  <c r="S66" i="5"/>
  <c r="R66" i="5"/>
  <c r="Q66" i="5"/>
  <c r="L66" i="5"/>
  <c r="N66" i="5" s="1"/>
  <c r="U66" i="5" s="1"/>
  <c r="U65" i="5"/>
  <c r="Q65" i="5"/>
  <c r="N65" i="5"/>
  <c r="R64" i="5"/>
  <c r="U64" i="5" s="1"/>
  <c r="N64" i="5"/>
  <c r="N63" i="5"/>
  <c r="U63" i="5" s="1"/>
  <c r="N62" i="5"/>
  <c r="U62" i="5" s="1"/>
  <c r="M62" i="5"/>
  <c r="N61" i="5"/>
  <c r="U61" i="5" s="1"/>
  <c r="Q60" i="5"/>
  <c r="N60" i="5"/>
  <c r="U60" i="5" s="1"/>
  <c r="M60" i="5"/>
  <c r="M59" i="5"/>
  <c r="N59" i="5" s="1"/>
  <c r="U59" i="5" s="1"/>
  <c r="T58" i="5"/>
  <c r="S58" i="5"/>
  <c r="R58" i="5"/>
  <c r="Q58" i="5"/>
  <c r="N58" i="5"/>
  <c r="U58" i="5" s="1"/>
  <c r="O57" i="5"/>
  <c r="N57" i="5"/>
  <c r="U57" i="5" s="1"/>
  <c r="M57" i="5"/>
  <c r="L57" i="5"/>
  <c r="U56" i="5"/>
  <c r="O56" i="5"/>
  <c r="N56" i="5"/>
  <c r="M56" i="5"/>
  <c r="O55" i="5"/>
  <c r="M55" i="5"/>
  <c r="L55" i="5"/>
  <c r="N55" i="5" s="1"/>
  <c r="U55" i="5" s="1"/>
  <c r="U54" i="5"/>
  <c r="N54" i="5"/>
  <c r="S53" i="5"/>
  <c r="Q53" i="5"/>
  <c r="N53" i="5"/>
  <c r="U53" i="5" s="1"/>
  <c r="R52" i="5"/>
  <c r="N52" i="5"/>
  <c r="U52" i="5" s="1"/>
  <c r="Q51" i="5"/>
  <c r="N51" i="5"/>
  <c r="U51" i="5" s="1"/>
  <c r="U50" i="5"/>
  <c r="N50" i="5"/>
  <c r="N49" i="5"/>
  <c r="U49" i="5" s="1"/>
  <c r="U48" i="5"/>
  <c r="P48" i="5"/>
  <c r="N48" i="5"/>
  <c r="S47" i="5"/>
  <c r="S39" i="5" s="1"/>
  <c r="S80" i="5" s="1"/>
  <c r="R47" i="5"/>
  <c r="Q47" i="5"/>
  <c r="N47" i="5"/>
  <c r="U47" i="5" s="1"/>
  <c r="U46" i="5"/>
  <c r="N46" i="5"/>
  <c r="R45" i="5"/>
  <c r="Q45" i="5"/>
  <c r="Q39" i="5" s="1"/>
  <c r="Q80" i="5" s="1"/>
  <c r="Q251" i="5" s="1"/>
  <c r="M45" i="5"/>
  <c r="N45" i="5" s="1"/>
  <c r="U45" i="5" s="1"/>
  <c r="R44" i="5"/>
  <c r="Q44" i="5"/>
  <c r="P44" i="5"/>
  <c r="O44" i="5"/>
  <c r="N44" i="5"/>
  <c r="U44" i="5" s="1"/>
  <c r="M44" i="5"/>
  <c r="Q43" i="5"/>
  <c r="P43" i="5"/>
  <c r="P39" i="5" s="1"/>
  <c r="P80" i="5" s="1"/>
  <c r="O43" i="5"/>
  <c r="O39" i="5" s="1"/>
  <c r="O80" i="5" s="1"/>
  <c r="L43" i="5"/>
  <c r="N43" i="5" s="1"/>
  <c r="U43" i="5" s="1"/>
  <c r="U42" i="5"/>
  <c r="T42" i="5"/>
  <c r="Q42" i="5"/>
  <c r="N42" i="5"/>
  <c r="L42" i="5"/>
  <c r="L39" i="5" s="1"/>
  <c r="L80" i="5" s="1"/>
  <c r="M41" i="5"/>
  <c r="N41" i="5" s="1"/>
  <c r="U41" i="5" s="1"/>
  <c r="T39" i="5"/>
  <c r="T80" i="5" s="1"/>
  <c r="T251" i="5" s="1"/>
  <c r="R39" i="5"/>
  <c r="R80" i="5" s="1"/>
  <c r="R251" i="5" s="1"/>
  <c r="M39" i="5"/>
  <c r="M80" i="5" s="1"/>
  <c r="K39" i="5"/>
  <c r="K80" i="5" s="1"/>
  <c r="J39" i="5"/>
  <c r="J80" i="5" s="1"/>
  <c r="I39" i="5"/>
  <c r="I80" i="5" s="1"/>
  <c r="H39" i="5"/>
  <c r="H80" i="5" s="1"/>
  <c r="G39" i="5"/>
  <c r="N38" i="5"/>
  <c r="U38" i="5" s="1"/>
  <c r="G37" i="5"/>
  <c r="N37" i="5" s="1"/>
  <c r="U37" i="5" s="1"/>
  <c r="O36" i="5"/>
  <c r="M36" i="5"/>
  <c r="L36" i="5"/>
  <c r="N36" i="5" s="1"/>
  <c r="U36" i="5" s="1"/>
  <c r="T35" i="5"/>
  <c r="S35" i="5"/>
  <c r="R35" i="5"/>
  <c r="O35" i="5"/>
  <c r="H35" i="5"/>
  <c r="N35" i="5" s="1"/>
  <c r="U35" i="5" s="1"/>
  <c r="S34" i="5"/>
  <c r="N34" i="5"/>
  <c r="U34" i="5" s="1"/>
  <c r="T33" i="5"/>
  <c r="O33" i="5"/>
  <c r="N33" i="5"/>
  <c r="R32" i="5"/>
  <c r="M32" i="5"/>
  <c r="N32" i="5" s="1"/>
  <c r="U32" i="5" s="1"/>
  <c r="N31" i="5"/>
  <c r="U31" i="5" s="1"/>
  <c r="U30" i="5"/>
  <c r="Q30" i="5"/>
  <c r="N30" i="5"/>
  <c r="N29" i="5"/>
  <c r="U29" i="5" s="1"/>
  <c r="T28" i="5"/>
  <c r="S28" i="5"/>
  <c r="R28" i="5"/>
  <c r="Q28" i="5"/>
  <c r="O28" i="5"/>
  <c r="N28" i="5"/>
  <c r="U28" i="5" s="1"/>
  <c r="H28" i="5"/>
  <c r="O27" i="5"/>
  <c r="N27" i="5"/>
  <c r="U27" i="5" s="1"/>
  <c r="L27" i="5"/>
  <c r="L26" i="5"/>
  <c r="N26" i="5" s="1"/>
  <c r="U26" i="5" s="1"/>
  <c r="L25" i="5"/>
  <c r="N25" i="5" s="1"/>
  <c r="U25" i="5" s="1"/>
  <c r="R24" i="5"/>
  <c r="Q24" i="5"/>
  <c r="N24" i="5"/>
  <c r="U24" i="5" s="1"/>
  <c r="N23" i="5"/>
  <c r="U23" i="5" s="1"/>
  <c r="N22" i="5"/>
  <c r="U22" i="5" s="1"/>
  <c r="U21" i="5"/>
  <c r="N21" i="5"/>
  <c r="N20" i="5"/>
  <c r="U20" i="5" s="1"/>
  <c r="T19" i="5"/>
  <c r="S19" i="5"/>
  <c r="R19" i="5"/>
  <c r="Q19" i="5"/>
  <c r="N19" i="5"/>
  <c r="U19" i="5" s="1"/>
  <c r="N18" i="5"/>
  <c r="U18" i="5" s="1"/>
  <c r="N17" i="5"/>
  <c r="U17" i="5" s="1"/>
  <c r="N16" i="5"/>
  <c r="U16" i="5" s="1"/>
  <c r="N15" i="5"/>
  <c r="U15" i="5" s="1"/>
  <c r="T14" i="5"/>
  <c r="S14" i="5"/>
  <c r="R14" i="5"/>
  <c r="Q14" i="5"/>
  <c r="O14" i="5"/>
  <c r="N14" i="5"/>
  <c r="U14" i="5" s="1"/>
  <c r="T13" i="5"/>
  <c r="S13" i="5"/>
  <c r="R13" i="5"/>
  <c r="Q13" i="5"/>
  <c r="O13" i="5"/>
  <c r="N13" i="5"/>
  <c r="U13" i="5" s="1"/>
  <c r="N12" i="5"/>
  <c r="U12" i="5" s="1"/>
  <c r="L12" i="5"/>
  <c r="H12" i="5"/>
  <c r="N85" i="7" l="1"/>
  <c r="N252" i="7" s="1"/>
  <c r="U252" i="7" s="1"/>
  <c r="U44" i="7"/>
  <c r="U85" i="7" s="1"/>
  <c r="U258" i="7" s="1"/>
  <c r="U238" i="6"/>
  <c r="R255" i="6"/>
  <c r="R256" i="6" s="1"/>
  <c r="R257" i="6"/>
  <c r="T249" i="6"/>
  <c r="Q249" i="6"/>
  <c r="S249" i="6"/>
  <c r="U82" i="6"/>
  <c r="U254" i="6" s="1"/>
  <c r="N82" i="6"/>
  <c r="N221" i="6"/>
  <c r="U83" i="6"/>
  <c r="U221" i="6" s="1"/>
  <c r="N245" i="5"/>
  <c r="U245" i="5" s="1"/>
  <c r="K246" i="5"/>
  <c r="U111" i="5"/>
  <c r="S246" i="5"/>
  <c r="S252" i="5" s="1"/>
  <c r="S251" i="5"/>
  <c r="U173" i="5"/>
  <c r="N235" i="5"/>
  <c r="U152" i="5"/>
  <c r="U79" i="5"/>
  <c r="U33" i="5"/>
  <c r="I246" i="5"/>
  <c r="P246" i="5"/>
  <c r="H246" i="5"/>
  <c r="Q246" i="5"/>
  <c r="Q252" i="5" s="1"/>
  <c r="R246" i="5"/>
  <c r="R252" i="5" s="1"/>
  <c r="J246" i="5"/>
  <c r="T246" i="5"/>
  <c r="T252" i="5" s="1"/>
  <c r="M246" i="5"/>
  <c r="O218" i="5"/>
  <c r="O246" i="5" s="1"/>
  <c r="N39" i="5"/>
  <c r="N95" i="5"/>
  <c r="U95" i="5" s="1"/>
  <c r="U219" i="5"/>
  <c r="L235" i="5"/>
  <c r="L246" i="5" s="1"/>
  <c r="N240" i="5"/>
  <c r="G80" i="5"/>
  <c r="G246" i="5" s="1"/>
  <c r="U81" i="5"/>
  <c r="S181" i="4"/>
  <c r="S214" i="4"/>
  <c r="S213" i="4"/>
  <c r="R212" i="4"/>
  <c r="S209" i="4"/>
  <c r="S208" i="4"/>
  <c r="S206" i="4"/>
  <c r="R205" i="4"/>
  <c r="R204" i="4"/>
  <c r="Q203" i="4"/>
  <c r="Q202" i="4"/>
  <c r="Q201" i="4"/>
  <c r="Q200" i="4"/>
  <c r="Q195" i="4"/>
  <c r="S190" i="4"/>
  <c r="S189" i="4"/>
  <c r="S187" i="4"/>
  <c r="S186" i="4"/>
  <c r="S185" i="4"/>
  <c r="R184" i="4"/>
  <c r="R183" i="4"/>
  <c r="S182" i="4"/>
  <c r="S172" i="4"/>
  <c r="S163" i="4"/>
  <c r="S157" i="4"/>
  <c r="R157" i="4"/>
  <c r="Q157" i="4"/>
  <c r="S154" i="4"/>
  <c r="S150" i="4"/>
  <c r="S149" i="4"/>
  <c r="S141" i="4"/>
  <c r="R141" i="4"/>
  <c r="U261" i="7" l="1"/>
  <c r="U259" i="7"/>
  <c r="U260" i="7" s="1"/>
  <c r="S255" i="6"/>
  <c r="S256" i="6" s="1"/>
  <c r="S257" i="6"/>
  <c r="Q255" i="6"/>
  <c r="Q256" i="6" s="1"/>
  <c r="Q257" i="6"/>
  <c r="T255" i="6"/>
  <c r="T256" i="6" s="1"/>
  <c r="T257" i="6"/>
  <c r="N249" i="6"/>
  <c r="U249" i="6" s="1"/>
  <c r="U235" i="5"/>
  <c r="U240" i="5"/>
  <c r="N218" i="5"/>
  <c r="U39" i="5"/>
  <c r="U80" i="5" s="1"/>
  <c r="U251" i="5" s="1"/>
  <c r="N80" i="5"/>
  <c r="U218" i="5"/>
  <c r="T111" i="4"/>
  <c r="S111" i="4"/>
  <c r="R111" i="4"/>
  <c r="Q111" i="4"/>
  <c r="Q152" i="4"/>
  <c r="Q197" i="4"/>
  <c r="T79" i="4"/>
  <c r="S79" i="4"/>
  <c r="R79" i="4"/>
  <c r="Q79" i="4"/>
  <c r="T71" i="4"/>
  <c r="S71" i="4"/>
  <c r="T73" i="4"/>
  <c r="S73" i="4"/>
  <c r="R73" i="4"/>
  <c r="R71" i="4"/>
  <c r="Q73" i="4"/>
  <c r="Q71" i="4"/>
  <c r="T76" i="4"/>
  <c r="S76" i="4"/>
  <c r="R76" i="4"/>
  <c r="Q76" i="4"/>
  <c r="T75" i="4"/>
  <c r="S75" i="4"/>
  <c r="R75" i="4"/>
  <c r="Q75" i="4"/>
  <c r="Q78" i="4"/>
  <c r="Q77" i="4"/>
  <c r="Q72" i="4"/>
  <c r="R69" i="4"/>
  <c r="Q69" i="4"/>
  <c r="R68" i="4"/>
  <c r="R67" i="4"/>
  <c r="Q67" i="4"/>
  <c r="T66" i="4"/>
  <c r="S66" i="4"/>
  <c r="R66" i="4"/>
  <c r="Q66" i="4"/>
  <c r="Q65" i="4"/>
  <c r="R64" i="4"/>
  <c r="Q60" i="4"/>
  <c r="T58" i="4"/>
  <c r="S58" i="4"/>
  <c r="R58" i="4"/>
  <c r="Q58" i="4"/>
  <c r="T35" i="4"/>
  <c r="S35" i="4"/>
  <c r="R35" i="4"/>
  <c r="S34" i="4"/>
  <c r="T33" i="4"/>
  <c r="R32" i="4"/>
  <c r="Q30" i="4"/>
  <c r="T28" i="4"/>
  <c r="S28" i="4"/>
  <c r="R28" i="4"/>
  <c r="Q28" i="4"/>
  <c r="R24" i="4"/>
  <c r="Q24" i="4"/>
  <c r="T19" i="4"/>
  <c r="S19" i="4"/>
  <c r="R19" i="4"/>
  <c r="Q19" i="4"/>
  <c r="T14" i="4"/>
  <c r="S14" i="4"/>
  <c r="R14" i="4"/>
  <c r="Q14" i="4"/>
  <c r="T13" i="4"/>
  <c r="S13" i="4"/>
  <c r="R13" i="4"/>
  <c r="Q13" i="4"/>
  <c r="U255" i="6" l="1"/>
  <c r="U256" i="6" s="1"/>
  <c r="U257" i="6"/>
  <c r="N246" i="5"/>
  <c r="U246" i="5" s="1"/>
  <c r="U252" i="5" s="1"/>
  <c r="S70" i="4"/>
  <c r="R70" i="4"/>
  <c r="Q70" i="4"/>
  <c r="T42" i="4" l="1"/>
  <c r="S53" i="4"/>
  <c r="S47" i="4"/>
  <c r="R52" i="4"/>
  <c r="R47" i="4"/>
  <c r="R45" i="4"/>
  <c r="R44" i="4"/>
  <c r="Q53" i="4"/>
  <c r="Q51" i="4"/>
  <c r="Q47" i="4"/>
  <c r="Q45" i="4"/>
  <c r="Q44" i="4"/>
  <c r="Q43" i="4"/>
  <c r="Q42" i="4"/>
  <c r="P48" i="4"/>
  <c r="P44" i="4"/>
  <c r="P43" i="4"/>
  <c r="Q141" i="4" l="1"/>
  <c r="Q218" i="4" s="1"/>
  <c r="N79" i="4"/>
  <c r="U79" i="4" s="1"/>
  <c r="U217" i="4"/>
  <c r="P218" i="4"/>
  <c r="S192" i="4" l="1"/>
  <c r="S191" i="4"/>
  <c r="S218" i="4" s="1"/>
  <c r="T176" i="4"/>
  <c r="T169" i="4"/>
  <c r="T168" i="4"/>
  <c r="R146" i="4"/>
  <c r="R107" i="4"/>
  <c r="T245" i="4"/>
  <c r="S245" i="4"/>
  <c r="R245" i="4"/>
  <c r="Q245" i="4"/>
  <c r="P245" i="4"/>
  <c r="O245" i="4"/>
  <c r="M245" i="4"/>
  <c r="L245" i="4"/>
  <c r="K245" i="4"/>
  <c r="J245" i="4"/>
  <c r="I245" i="4"/>
  <c r="H245" i="4"/>
  <c r="G245" i="4"/>
  <c r="N244" i="4"/>
  <c r="U244" i="4" s="1"/>
  <c r="N243" i="4"/>
  <c r="N242" i="4"/>
  <c r="N241" i="4"/>
  <c r="U241" i="4" s="1"/>
  <c r="T240" i="4"/>
  <c r="S240" i="4"/>
  <c r="R240" i="4"/>
  <c r="Q240" i="4"/>
  <c r="P240" i="4"/>
  <c r="O240" i="4"/>
  <c r="M240" i="4"/>
  <c r="L240" i="4"/>
  <c r="K240" i="4"/>
  <c r="J240" i="4"/>
  <c r="I240" i="4"/>
  <c r="H240" i="4"/>
  <c r="G240" i="4"/>
  <c r="N239" i="4"/>
  <c r="N238" i="4"/>
  <c r="N237" i="4"/>
  <c r="U237" i="4" s="1"/>
  <c r="N236" i="4"/>
  <c r="T235" i="4"/>
  <c r="S235" i="4"/>
  <c r="R235" i="4"/>
  <c r="Q235" i="4"/>
  <c r="P235" i="4"/>
  <c r="K235" i="4"/>
  <c r="J235" i="4"/>
  <c r="I235" i="4"/>
  <c r="H235" i="4"/>
  <c r="G235" i="4"/>
  <c r="N234" i="4"/>
  <c r="O233" i="4"/>
  <c r="N233" i="4"/>
  <c r="U233" i="4" s="1"/>
  <c r="N232" i="4"/>
  <c r="O231" i="4"/>
  <c r="M231" i="4"/>
  <c r="L231" i="4"/>
  <c r="L235" i="4" s="1"/>
  <c r="N230" i="4"/>
  <c r="N229" i="4"/>
  <c r="N228" i="4"/>
  <c r="N227" i="4"/>
  <c r="U227" i="4" s="1"/>
  <c r="N226" i="4"/>
  <c r="N225" i="4"/>
  <c r="U225" i="4" s="1"/>
  <c r="N224" i="4"/>
  <c r="N223" i="4"/>
  <c r="N222" i="4"/>
  <c r="N221" i="4"/>
  <c r="N220" i="4"/>
  <c r="U220" i="4" s="1"/>
  <c r="O219" i="4"/>
  <c r="N219" i="4"/>
  <c r="K218" i="4"/>
  <c r="G218" i="4"/>
  <c r="N216" i="4"/>
  <c r="N215" i="4"/>
  <c r="N214" i="4"/>
  <c r="N213" i="4"/>
  <c r="N212" i="4"/>
  <c r="N211" i="4"/>
  <c r="U211" i="4" s="1"/>
  <c r="N210" i="4"/>
  <c r="U210" i="4" s="1"/>
  <c r="N209" i="4"/>
  <c r="N208" i="4"/>
  <c r="U208" i="4" s="1"/>
  <c r="N207" i="4"/>
  <c r="U207" i="4" s="1"/>
  <c r="N206" i="4"/>
  <c r="N205" i="4"/>
  <c r="U205" i="4" s="1"/>
  <c r="N204" i="4"/>
  <c r="N203" i="4"/>
  <c r="N202" i="4"/>
  <c r="U202" i="4" s="1"/>
  <c r="N201" i="4"/>
  <c r="U201" i="4" s="1"/>
  <c r="N200" i="4"/>
  <c r="N199" i="4"/>
  <c r="U199" i="4" s="1"/>
  <c r="N198" i="4"/>
  <c r="U198" i="4" s="1"/>
  <c r="N197" i="4"/>
  <c r="N196" i="4"/>
  <c r="U196" i="4" s="1"/>
  <c r="N195" i="4"/>
  <c r="N194" i="4"/>
  <c r="N193" i="4"/>
  <c r="U193" i="4" s="1"/>
  <c r="N192" i="4"/>
  <c r="N191" i="4"/>
  <c r="N190" i="4"/>
  <c r="U190" i="4" s="1"/>
  <c r="N189" i="4"/>
  <c r="N188" i="4"/>
  <c r="N187" i="4"/>
  <c r="U187" i="4" s="1"/>
  <c r="N186" i="4"/>
  <c r="N185" i="4"/>
  <c r="N184" i="4"/>
  <c r="U184" i="4" s="1"/>
  <c r="N183" i="4"/>
  <c r="U183" i="4" s="1"/>
  <c r="N182" i="4"/>
  <c r="N181" i="4"/>
  <c r="U181" i="4" s="1"/>
  <c r="N180" i="4"/>
  <c r="U180" i="4" s="1"/>
  <c r="T179" i="4"/>
  <c r="N179" i="4"/>
  <c r="T178" i="4"/>
  <c r="N178" i="4"/>
  <c r="T177" i="4"/>
  <c r="N177" i="4"/>
  <c r="N176" i="4"/>
  <c r="T175" i="4"/>
  <c r="N175" i="4"/>
  <c r="T174" i="4"/>
  <c r="N174" i="4"/>
  <c r="T173" i="4"/>
  <c r="N173" i="4"/>
  <c r="N172" i="4"/>
  <c r="U172" i="4" s="1"/>
  <c r="T171" i="4"/>
  <c r="N171" i="4"/>
  <c r="N170" i="4"/>
  <c r="N169" i="4"/>
  <c r="N168" i="4"/>
  <c r="N167" i="4"/>
  <c r="N166" i="4"/>
  <c r="U166" i="4" s="1"/>
  <c r="N165" i="4"/>
  <c r="N164" i="4"/>
  <c r="N163" i="4"/>
  <c r="N162" i="4"/>
  <c r="U162" i="4" s="1"/>
  <c r="N161" i="4"/>
  <c r="L160" i="4"/>
  <c r="N160" i="4" s="1"/>
  <c r="L159" i="4"/>
  <c r="N158" i="4"/>
  <c r="M157" i="4"/>
  <c r="N157" i="4" s="1"/>
  <c r="N156" i="4"/>
  <c r="N155" i="4"/>
  <c r="U155" i="4" s="1"/>
  <c r="N154" i="4"/>
  <c r="M153" i="4"/>
  <c r="N153" i="4" s="1"/>
  <c r="N152" i="4"/>
  <c r="U152" i="4" s="1"/>
  <c r="M151" i="4"/>
  <c r="L151" i="4"/>
  <c r="M150" i="4"/>
  <c r="N150" i="4" s="1"/>
  <c r="U150" i="4" s="1"/>
  <c r="N149" i="4"/>
  <c r="O148" i="4"/>
  <c r="M148" i="4"/>
  <c r="N147" i="4"/>
  <c r="O146" i="4"/>
  <c r="N146" i="4"/>
  <c r="M145" i="4"/>
  <c r="N145" i="4" s="1"/>
  <c r="U145" i="4" s="1"/>
  <c r="L144" i="4"/>
  <c r="N144" i="4" s="1"/>
  <c r="M143" i="4"/>
  <c r="O142" i="4"/>
  <c r="M142" i="4"/>
  <c r="L142" i="4"/>
  <c r="O141" i="4"/>
  <c r="M141" i="4"/>
  <c r="N141" i="4" s="1"/>
  <c r="M140" i="4"/>
  <c r="N140" i="4" s="1"/>
  <c r="N139" i="4"/>
  <c r="N138" i="4"/>
  <c r="U138" i="4" s="1"/>
  <c r="M137" i="4"/>
  <c r="L137" i="4"/>
  <c r="N136" i="4"/>
  <c r="N135" i="4"/>
  <c r="N134" i="4"/>
  <c r="U134" i="4" s="1"/>
  <c r="N133" i="4"/>
  <c r="N132" i="4"/>
  <c r="M131" i="4"/>
  <c r="N131" i="4" s="1"/>
  <c r="U131" i="4" s="1"/>
  <c r="N130" i="4"/>
  <c r="M129" i="4"/>
  <c r="N129" i="4" s="1"/>
  <c r="N128" i="4"/>
  <c r="N127" i="4"/>
  <c r="N126" i="4"/>
  <c r="N125" i="4"/>
  <c r="U125" i="4" s="1"/>
  <c r="N124" i="4"/>
  <c r="N123" i="4"/>
  <c r="N122" i="4"/>
  <c r="U122" i="4" s="1"/>
  <c r="N121" i="4"/>
  <c r="N120" i="4"/>
  <c r="N119" i="4"/>
  <c r="N118" i="4"/>
  <c r="N117" i="4"/>
  <c r="N116" i="4"/>
  <c r="U116" i="4" s="1"/>
  <c r="N115" i="4"/>
  <c r="N114" i="4"/>
  <c r="N113" i="4"/>
  <c r="U113" i="4" s="1"/>
  <c r="N112" i="4"/>
  <c r="O111" i="4"/>
  <c r="N111" i="4"/>
  <c r="N110" i="4"/>
  <c r="U110" i="4" s="1"/>
  <c r="M109" i="4"/>
  <c r="N109" i="4" s="1"/>
  <c r="U109" i="4" s="1"/>
  <c r="N108" i="4"/>
  <c r="M107" i="4"/>
  <c r="N106" i="4"/>
  <c r="U106" i="4" s="1"/>
  <c r="L105" i="4"/>
  <c r="N104" i="4"/>
  <c r="N103" i="4"/>
  <c r="N102" i="4"/>
  <c r="U102" i="4" s="1"/>
  <c r="N101" i="4"/>
  <c r="N100" i="4"/>
  <c r="M99" i="4"/>
  <c r="L99" i="4"/>
  <c r="N98" i="4"/>
  <c r="U98" i="4" s="1"/>
  <c r="N97" i="4"/>
  <c r="N96" i="4"/>
  <c r="M95" i="4"/>
  <c r="L95" i="4"/>
  <c r="N95" i="4" s="1"/>
  <c r="U95" i="4" s="1"/>
  <c r="N94" i="4"/>
  <c r="U94" i="4" s="1"/>
  <c r="N93" i="4"/>
  <c r="N92" i="4"/>
  <c r="J91" i="4"/>
  <c r="J218" i="4" s="1"/>
  <c r="I91" i="4"/>
  <c r="I218" i="4" s="1"/>
  <c r="H91" i="4"/>
  <c r="N91" i="4" s="1"/>
  <c r="N90" i="4"/>
  <c r="N89" i="4"/>
  <c r="N88" i="4"/>
  <c r="N87" i="4"/>
  <c r="N86" i="4"/>
  <c r="N85" i="4"/>
  <c r="L84" i="4"/>
  <c r="N84" i="4" s="1"/>
  <c r="H83" i="4"/>
  <c r="N83" i="4" s="1"/>
  <c r="L82" i="4"/>
  <c r="L81" i="4"/>
  <c r="H81" i="4"/>
  <c r="N78" i="4"/>
  <c r="N77" i="4"/>
  <c r="N76" i="4"/>
  <c r="U76" i="4" s="1"/>
  <c r="O75" i="4"/>
  <c r="N75" i="4"/>
  <c r="N74" i="4"/>
  <c r="O73" i="4"/>
  <c r="M73" i="4"/>
  <c r="N73" i="4" s="1"/>
  <c r="N72" i="4"/>
  <c r="M71" i="4"/>
  <c r="L71" i="4"/>
  <c r="N70" i="4"/>
  <c r="U70" i="4" s="1"/>
  <c r="L69" i="4"/>
  <c r="N69" i="4" s="1"/>
  <c r="N68" i="4"/>
  <c r="U68" i="4" s="1"/>
  <c r="O67" i="4"/>
  <c r="N67" i="4"/>
  <c r="L66" i="4"/>
  <c r="N66" i="4" s="1"/>
  <c r="N65" i="4"/>
  <c r="N64" i="4"/>
  <c r="N63" i="4"/>
  <c r="M62" i="4"/>
  <c r="N61" i="4"/>
  <c r="M60" i="4"/>
  <c r="N60" i="4" s="1"/>
  <c r="M59" i="4"/>
  <c r="N58" i="4"/>
  <c r="U58" i="4" s="1"/>
  <c r="O57" i="4"/>
  <c r="M57" i="4"/>
  <c r="L57" i="4"/>
  <c r="O56" i="4"/>
  <c r="M56" i="4"/>
  <c r="N56" i="4" s="1"/>
  <c r="O55" i="4"/>
  <c r="M55" i="4"/>
  <c r="L55" i="4"/>
  <c r="N54" i="4"/>
  <c r="U54" i="4" s="1"/>
  <c r="N53" i="4"/>
  <c r="N52" i="4"/>
  <c r="U52" i="4" s="1"/>
  <c r="N51" i="4"/>
  <c r="U51" i="4" s="1"/>
  <c r="N50" i="4"/>
  <c r="N49" i="4"/>
  <c r="U49" i="4" s="1"/>
  <c r="N48" i="4"/>
  <c r="U48" i="4" s="1"/>
  <c r="N47" i="4"/>
  <c r="N46" i="4"/>
  <c r="M45" i="4"/>
  <c r="N45" i="4" s="1"/>
  <c r="U45" i="4" s="1"/>
  <c r="O44" i="4"/>
  <c r="M44" i="4"/>
  <c r="N44" i="4" s="1"/>
  <c r="O43" i="4"/>
  <c r="L43" i="4"/>
  <c r="N43" i="4" s="1"/>
  <c r="L42" i="4"/>
  <c r="M41" i="4"/>
  <c r="N41" i="4" s="1"/>
  <c r="T39" i="4"/>
  <c r="T80" i="4" s="1"/>
  <c r="S39" i="4"/>
  <c r="S80" i="4" s="1"/>
  <c r="R39" i="4"/>
  <c r="R80" i="4" s="1"/>
  <c r="Q39" i="4"/>
  <c r="Q80" i="4" s="1"/>
  <c r="P39" i="4"/>
  <c r="P80" i="4" s="1"/>
  <c r="K39" i="4"/>
  <c r="J39" i="4"/>
  <c r="J80" i="4" s="1"/>
  <c r="I39" i="4"/>
  <c r="H39" i="4"/>
  <c r="G39" i="4"/>
  <c r="N38" i="4"/>
  <c r="G37" i="4"/>
  <c r="O36" i="4"/>
  <c r="M36" i="4"/>
  <c r="L36" i="4"/>
  <c r="O35" i="4"/>
  <c r="H35" i="4"/>
  <c r="N35" i="4" s="1"/>
  <c r="N34" i="4"/>
  <c r="O33" i="4"/>
  <c r="N33" i="4"/>
  <c r="M32" i="4"/>
  <c r="N32" i="4" s="1"/>
  <c r="U32" i="4" s="1"/>
  <c r="N31" i="4"/>
  <c r="N30" i="4"/>
  <c r="N29" i="4"/>
  <c r="U29" i="4" s="1"/>
  <c r="O28" i="4"/>
  <c r="H28" i="4"/>
  <c r="N28" i="4" s="1"/>
  <c r="O27" i="4"/>
  <c r="L27" i="4"/>
  <c r="N27" i="4" s="1"/>
  <c r="L26" i="4"/>
  <c r="N26" i="4" s="1"/>
  <c r="N25" i="4"/>
  <c r="L25" i="4"/>
  <c r="N24" i="4"/>
  <c r="N23" i="4"/>
  <c r="U23" i="4" s="1"/>
  <c r="N22" i="4"/>
  <c r="N21" i="4"/>
  <c r="N20" i="4"/>
  <c r="U20" i="4" s="1"/>
  <c r="N19" i="4"/>
  <c r="N18" i="4"/>
  <c r="N17" i="4"/>
  <c r="U17" i="4" s="1"/>
  <c r="N16" i="4"/>
  <c r="N15" i="4"/>
  <c r="O14" i="4"/>
  <c r="N14" i="4"/>
  <c r="O13" i="4"/>
  <c r="N13" i="4"/>
  <c r="L12" i="4"/>
  <c r="H12" i="4"/>
  <c r="N12" i="4" l="1"/>
  <c r="N36" i="4"/>
  <c r="L39" i="4"/>
  <c r="R218" i="4"/>
  <c r="N142" i="4"/>
  <c r="N231" i="4"/>
  <c r="N235" i="4" s="1"/>
  <c r="O218" i="4"/>
  <c r="N137" i="4"/>
  <c r="U137" i="4" s="1"/>
  <c r="M235" i="4"/>
  <c r="U13" i="4"/>
  <c r="M39" i="4"/>
  <c r="N39" i="4" s="1"/>
  <c r="O39" i="4"/>
  <c r="O80" i="4" s="1"/>
  <c r="U192" i="4"/>
  <c r="T218" i="4"/>
  <c r="N55" i="4"/>
  <c r="U55" i="4" s="1"/>
  <c r="U67" i="4"/>
  <c r="U219" i="4"/>
  <c r="U243" i="4"/>
  <c r="U53" i="4"/>
  <c r="U197" i="4"/>
  <c r="U229" i="4"/>
  <c r="U236" i="4"/>
  <c r="U222" i="4"/>
  <c r="U226" i="4"/>
  <c r="U215" i="4"/>
  <c r="U203" i="4"/>
  <c r="U185" i="4"/>
  <c r="U165" i="4"/>
  <c r="U133" i="4"/>
  <c r="U86" i="4"/>
  <c r="U93" i="4"/>
  <c r="U78" i="4"/>
  <c r="U43" i="4"/>
  <c r="U46" i="4"/>
  <c r="U63" i="4"/>
  <c r="U66" i="4"/>
  <c r="U85" i="4"/>
  <c r="U87" i="4"/>
  <c r="U89" i="4"/>
  <c r="U121" i="4"/>
  <c r="U135" i="4"/>
  <c r="U154" i="4"/>
  <c r="U182" i="4"/>
  <c r="U188" i="4"/>
  <c r="U212" i="4"/>
  <c r="U239" i="4"/>
  <c r="U168" i="4"/>
  <c r="U38" i="4"/>
  <c r="U88" i="4"/>
  <c r="U90" i="4"/>
  <c r="U130" i="4"/>
  <c r="U139" i="4"/>
  <c r="U189" i="4"/>
  <c r="U194" i="4"/>
  <c r="U221" i="4"/>
  <c r="U223" i="4"/>
  <c r="U31" i="4"/>
  <c r="U149" i="4"/>
  <c r="U158" i="4"/>
  <c r="U171" i="4"/>
  <c r="U200" i="4"/>
  <c r="U206" i="4"/>
  <c r="U214" i="4"/>
  <c r="U228" i="4"/>
  <c r="U232" i="4"/>
  <c r="U176" i="4"/>
  <c r="U16" i="4"/>
  <c r="U234" i="4"/>
  <c r="U19" i="4"/>
  <c r="U22" i="4"/>
  <c r="U25" i="4"/>
  <c r="U112" i="4"/>
  <c r="U140" i="4"/>
  <c r="U144" i="4"/>
  <c r="U147" i="4"/>
  <c r="U156" i="4"/>
  <c r="U209" i="4"/>
  <c r="U191" i="4"/>
  <c r="L80" i="4"/>
  <c r="U28" i="4"/>
  <c r="U60" i="4"/>
  <c r="U75" i="4"/>
  <c r="U132" i="4"/>
  <c r="K80" i="4"/>
  <c r="U41" i="4"/>
  <c r="U50" i="4"/>
  <c r="U69" i="4"/>
  <c r="U72" i="4"/>
  <c r="N151" i="4"/>
  <c r="U97" i="4"/>
  <c r="U119" i="4"/>
  <c r="U146" i="4"/>
  <c r="H218" i="4"/>
  <c r="N81" i="4"/>
  <c r="U12" i="4"/>
  <c r="U27" i="4"/>
  <c r="U34" i="4"/>
  <c r="U36" i="4"/>
  <c r="U44" i="4"/>
  <c r="U56" i="4"/>
  <c r="U73" i="4"/>
  <c r="N82" i="4"/>
  <c r="L218" i="4"/>
  <c r="N105" i="4"/>
  <c r="U83" i="4"/>
  <c r="U26" i="4"/>
  <c r="U30" i="4"/>
  <c r="U35" i="4"/>
  <c r="N59" i="4"/>
  <c r="N62" i="4"/>
  <c r="N71" i="4"/>
  <c r="U91" i="4"/>
  <c r="U15" i="4"/>
  <c r="U18" i="4"/>
  <c r="U21" i="4"/>
  <c r="U24" i="4"/>
  <c r="N37" i="4"/>
  <c r="U47" i="4"/>
  <c r="U65" i="4"/>
  <c r="N99" i="4"/>
  <c r="U128" i="4"/>
  <c r="U153" i="4"/>
  <c r="G80" i="4"/>
  <c r="G246" i="4" s="1"/>
  <c r="U33" i="4"/>
  <c r="U61" i="4"/>
  <c r="U64" i="4"/>
  <c r="U74" i="4"/>
  <c r="U77" i="4"/>
  <c r="H80" i="4"/>
  <c r="U84" i="4"/>
  <c r="U96" i="4"/>
  <c r="U104" i="4"/>
  <c r="U118" i="4"/>
  <c r="U127" i="4"/>
  <c r="U136" i="4"/>
  <c r="N143" i="4"/>
  <c r="U160" i="4"/>
  <c r="U163" i="4"/>
  <c r="U230" i="4"/>
  <c r="U14" i="4"/>
  <c r="N42" i="4"/>
  <c r="N57" i="4"/>
  <c r="I80" i="4"/>
  <c r="U100" i="4"/>
  <c r="U108" i="4"/>
  <c r="U114" i="4"/>
  <c r="U123" i="4"/>
  <c r="N148" i="4"/>
  <c r="U161" i="4"/>
  <c r="U174" i="4"/>
  <c r="U216" i="4"/>
  <c r="U224" i="4"/>
  <c r="P246" i="4"/>
  <c r="U169" i="4"/>
  <c r="U186" i="4"/>
  <c r="U204" i="4"/>
  <c r="J246" i="4"/>
  <c r="U126" i="4"/>
  <c r="U142" i="4"/>
  <c r="U103" i="4"/>
  <c r="U117" i="4"/>
  <c r="U167" i="4"/>
  <c r="U170" i="4"/>
  <c r="U175" i="4"/>
  <c r="U177" i="4"/>
  <c r="R246" i="4"/>
  <c r="U101" i="4"/>
  <c r="N107" i="4"/>
  <c r="U111" i="4"/>
  <c r="U115" i="4"/>
  <c r="U124" i="4"/>
  <c r="U141" i="4"/>
  <c r="N159" i="4"/>
  <c r="U173" i="4"/>
  <c r="M80" i="4"/>
  <c r="U92" i="4"/>
  <c r="U120" i="4"/>
  <c r="U129" i="4"/>
  <c r="U157" i="4"/>
  <c r="U195" i="4"/>
  <c r="U213" i="4"/>
  <c r="U179" i="4"/>
  <c r="O235" i="4"/>
  <c r="U242" i="4"/>
  <c r="U164" i="4"/>
  <c r="U178" i="4"/>
  <c r="U231" i="4"/>
  <c r="U238" i="4"/>
  <c r="N245" i="4"/>
  <c r="M218" i="4"/>
  <c r="S246" i="4"/>
  <c r="N240" i="4"/>
  <c r="K246" i="4" l="1"/>
  <c r="L246" i="4"/>
  <c r="H246" i="4"/>
  <c r="M246" i="4"/>
  <c r="N80" i="4"/>
  <c r="N218" i="4"/>
  <c r="T246" i="4"/>
  <c r="U59" i="4"/>
  <c r="U245" i="4"/>
  <c r="U57" i="4"/>
  <c r="U62" i="4"/>
  <c r="U81" i="4"/>
  <c r="U107" i="4"/>
  <c r="U148" i="4"/>
  <c r="U240" i="4"/>
  <c r="O246" i="4"/>
  <c r="I246" i="4"/>
  <c r="Q246" i="4"/>
  <c r="U143" i="4"/>
  <c r="U37" i="4"/>
  <c r="U42" i="4"/>
  <c r="U39" i="4"/>
  <c r="U235" i="4"/>
  <c r="U159" i="4"/>
  <c r="U99" i="4"/>
  <c r="U71" i="4"/>
  <c r="U151" i="4"/>
  <c r="U82" i="4"/>
  <c r="U105" i="4"/>
  <c r="N246" i="4" l="1"/>
  <c r="U246" i="4" s="1"/>
  <c r="U218" i="4"/>
  <c r="U80" i="4"/>
</calcChain>
</file>

<file path=xl/sharedStrings.xml><?xml version="1.0" encoding="utf-8"?>
<sst xmlns="http://schemas.openxmlformats.org/spreadsheetml/2006/main" count="3416" uniqueCount="312">
  <si>
    <t>Перелік завдань і заходів  Програми розвитку підприємств міського електро- та автотранспорту на 2016 – 2028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</si>
  <si>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</si>
  <si>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</si>
  <si>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</si>
  <si>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</si>
  <si>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</si>
  <si>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</si>
  <si>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</si>
  <si>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</si>
  <si>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1.1. Фінансове забезпечення комунального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</si>
  <si>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</si>
  <si>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 xml:space="preserve"> Бюджет Криворізької міської територіальної громади</t>
  </si>
  <si>
    <t>1.3. Придбання окремих запчастин, матеріалів, вузлів, агрегатів, обладнання (устаткування) для виконання капітальних і капітально-відновлювальних ремонтів тролейбусів</t>
  </si>
  <si>
    <t>1.4. Розробка та погодження  проєкту технічних умов на тролейбус з автономним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</si>
  <si>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</si>
  <si>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</si>
  <si>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м.Кривого Рогу</t>
  </si>
  <si>
    <t>1.7. Розробка ескізного проєкту тролейбуса для м. Кривого Рогу</t>
  </si>
  <si>
    <t xml:space="preserve">1.8. Виконання робіт з капітального і капітально-відновлювального ремонту тролейбусів, відновлення каркасів кузовів тролейбусів </t>
  </si>
  <si>
    <t>1.9. Розробка технічного проєкту й конструкторської документації на виготовлення низькопольного тролейбуса для м. Кривого Рогу</t>
  </si>
  <si>
    <t>1.10. Розробка та погодження  проєкту технічних умов на  тролейбус  низькопольний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</si>
  <si>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</si>
  <si>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</si>
  <si>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тролейбуса</t>
  </si>
  <si>
    <t>1.14. Придбання запасних частин та матеріалів  для виконання поточного ремонту контактної мережі тролейбуса на окремих ділянках</t>
  </si>
  <si>
    <t>2016-2023</t>
  </si>
  <si>
    <t>1.15. Придбання окремих запчастин, матеріалів, вузлів, агрегатів для виконання поточних ремонтів тролейбусів</t>
  </si>
  <si>
    <t xml:space="preserve">1.16. Придбання автошин для Комунального підприємства «Міський тролейбус» 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</si>
  <si>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</si>
  <si>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електрообладнання тягової підстанції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</si>
  <si>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електрообладнання тягових підстанцій підприємства та переведення його на телеуправління для Комунального підприємства «Міський тролейбус» в м. Кривому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</si>
  <si>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</si>
  <si>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</si>
  <si>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</si>
  <si>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транспорту, навісного обладнання</t>
  </si>
  <si>
    <t>у тому числі:</t>
  </si>
  <si>
    <t>колісний навантажувач з телескопічною стрілою «Bobcat T35.130SLP» у комплекті з навісним обладнанням</t>
  </si>
  <si>
    <t>машина аварійна для ремонту  контактних мереж «АТ-70М-041»</t>
  </si>
  <si>
    <t>автомобіль-самоскид, вантажо-підйомністю не менше 18 т</t>
  </si>
  <si>
    <t>трактор з навісним обладнанням</t>
  </si>
  <si>
    <t>тракторний причіп 2ПТС-4</t>
  </si>
  <si>
    <t>міні-навантажувач у комплекті з навісним обладнанням</t>
  </si>
  <si>
    <t>навісне обладнання для тракторної техніки</t>
  </si>
  <si>
    <t xml:space="preserve">колісний екскаватор-навантажувач у комплекті з навісним обладнанням </t>
  </si>
  <si>
    <t>міні-екскаватор з навісним обладнанням</t>
  </si>
  <si>
    <t>автомобіль, спеціальний, пересувна електролабораторія</t>
  </si>
  <si>
    <t>автомобіль, седельний тягач</t>
  </si>
  <si>
    <t>автомобіль, аварійний</t>
  </si>
  <si>
    <t xml:space="preserve">автомобіль, спеціальний, паливозаправщик </t>
  </si>
  <si>
    <t xml:space="preserve">1.29. Придбання окремих запчастин, матеріалів для поточного ремонту автобусів </t>
  </si>
  <si>
    <t>2019-2023</t>
  </si>
  <si>
    <t xml:space="preserve">1.30. Послуги з  поточного ремонту та технічного  обслуговування транспортних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</si>
  <si>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</si>
  <si>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впровадження і функціонування автоматизованої системи обліку оплати/валідації  проїзду в комунальному транспорті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</si>
  <si>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</si>
  <si>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</si>
  <si>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</si>
  <si>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</si>
  <si>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</si>
  <si>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</si>
  <si>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кабельних високовольтних вводів до тягової підстанції №4)</t>
  </si>
  <si>
    <t>2021-2028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</si>
  <si>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</si>
  <si>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 тощо)</t>
  </si>
  <si>
    <t>1.41. Придбання невмонтованого обладнання (меблі, устаткування, обладнання, інше), що включене у вартість зведеного кошторису на капітальне будівництво  та  реконструкцію будов  і об'єктів</t>
  </si>
  <si>
    <t>1.43. Поповнення статутного капіталу на придбання багатофункціональних модульних будівель</t>
  </si>
  <si>
    <t>1.45. Забезпечення надання послуг з перевезення пасажирів електротранспортом  (у тому числі: на оплату праці з нарахуваннями на оплату праці, на енергоносії, інші поточні видатки)</t>
  </si>
  <si>
    <t>1.46. Поповнення статутного капіталу для придбання електронних табло обладнання/устаткування для встановлення табло та підключення</t>
  </si>
  <si>
    <t>1.47.  Забезпечення надання послуг з перевезення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</si>
  <si>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2022-2028</t>
  </si>
  <si>
    <t>1.48  Послуги з енергетичного менеджменту (енергоаудит)</t>
  </si>
  <si>
    <t>2023-2028</t>
  </si>
  <si>
    <t>1.50. Поповнення статутного капіталу Комунального підприємства «Міський тролейбус» на придбання тролейбусів</t>
  </si>
  <si>
    <t>2024-2028</t>
  </si>
  <si>
    <t>1.51. Виконання ремонту захисних споруд цивільного захисту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</si>
  <si>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</si>
  <si>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</si>
  <si>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</si>
  <si>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</si>
  <si>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матеріалів для виконання поточного ремонту окремих ділянок трамвайних колій</t>
  </si>
  <si>
    <t>2.4. Придбання контактного дроту, запасних частин та матеріалів для виконання поточного ремонту окремих ділянок контактної мережі</t>
  </si>
  <si>
    <t xml:space="preserve">2.5. Поповнення статутного капіталу Комунального підприємства «Швидкісний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</si>
  <si>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кошторисної документації)</t>
  </si>
  <si>
    <t>2.8. Придбання пасажирських сидінь для встановлення в трамвайних вагонах</t>
  </si>
  <si>
    <t>2.9. Придбання   високовольтного   кабелю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</si>
  <si>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</si>
  <si>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колісних пар для трамвайних вагонів</t>
  </si>
  <si>
    <t>2.12. Придбання та встановлення приладів навігації GPS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</si>
  <si>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</si>
  <si>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вантажопідйомністю до 25 т</t>
  </si>
  <si>
    <t>2020-2023</t>
  </si>
  <si>
    <t>2.17. Розробка робочого проєкту «Капітальний ремонт станції швидкісного трамвая «Зарічна»  Комунального підприємства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</si>
  <si>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</si>
  <si>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впровадження автоматизованої системи обліку оплати проїзду в комунальному транспорті (трамвай) та на станціях швидкісного трамвая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</si>
  <si>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</si>
  <si>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контактної мережі</t>
  </si>
  <si>
    <t>2.24. Придбання ліцензії на право користування комп'ютерною програмою для програмування транспортного терміналу (валідатора) з метою  впровадження автоматизованої системи обліку оплати проїзду в комунальному транспорті (трамвай) та на станціях швидкісного трамвая</t>
  </si>
  <si>
    <t>2.25. Придбання запасних частин та матеріалів для виконання поточного ремонту трамвайних вагонів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</si>
  <si>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</si>
  <si>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</si>
  <si>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</si>
  <si>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</si>
  <si>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швидкісного трамвая «Зарічна»  Комунального підприємства «Швидкісний трамвай» у Покровському районі м. Кривого Рогу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</si>
  <si>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</si>
  <si>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</si>
  <si>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</si>
  <si>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</si>
  <si>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</si>
  <si>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</si>
  <si>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складу депо №2 КП «Швидкісний трамвай»</t>
  </si>
  <si>
    <t xml:space="preserve">2.42. Капітальний ремонт станції швидкісного трамвая «Сонячна»  </t>
  </si>
  <si>
    <t xml:space="preserve"> 2.43. Капітальний ремонт покрівлі головного корпусу депо №2 
КП «Швидкісний трамвай»</t>
  </si>
  <si>
    <t xml:space="preserve">2.44. Капітальний ремонт покрівлі цеху технічних оглядів депо №1 
КП «Швидкісний трамвай»
</t>
  </si>
  <si>
    <t xml:space="preserve">2.45. Капітальний ремонт покрівлі мийного корпусу депо №2 
КП «Швидкісний трамвай»
</t>
  </si>
  <si>
    <t xml:space="preserve">2.46. Капітальний ремонт будівлі тягової підстанції № 57 
КП «Швидкісний трамвай»
</t>
  </si>
  <si>
    <t xml:space="preserve">2.47. Капітальний ремонт будівлі тягової підстанції № 59 
КП «Швидкісний трамвай»
</t>
  </si>
  <si>
    <t xml:space="preserve">2.48. Капітальний ремонт будівлі тягової підстанції № 60 
КП «Швидкісний трамвай»
</t>
  </si>
  <si>
    <t xml:space="preserve">2.49. Капітальний ремонт станції швидкісного трамвая «Майдан праці»
</t>
  </si>
  <si>
    <t>2.50. Капітальний ремонт станції швидкісного трамвая «Мудрьона»</t>
  </si>
  <si>
    <t>2.51. Капітальний ремонт правого тунелю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</si>
  <si>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</si>
  <si>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2.55. Капітальний ремонт будівлі тягової  підстанції  №32  КП «Швид-кісний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</si>
  <si>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</si>
  <si>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підстанцій КП «Швидкісний трамвай» (кремнійових випрямлячів, масляних вимикачів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</si>
  <si>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</si>
  <si>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</si>
  <si>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</si>
  <si>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</si>
  <si>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</si>
  <si>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</si>
  <si>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</si>
  <si>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</si>
  <si>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</si>
  <si>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</si>
  <si>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</si>
  <si>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</si>
  <si>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2.76. Реалізація проєкту модернізації громадського трамвайного транспорту м.Кривого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</si>
  <si>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електротранспортом (у тому числі: на оплату праці з нарахуваннями на оплату праці, на енергоносії, інші поточні видатки)</t>
  </si>
  <si>
    <t>2.80. Придбання комплекних трансформаторних підстанцій КТП-250/ 10/0,4 кВ та КТП-250/ 10/0,23 кВ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</si>
  <si>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</si>
  <si>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</si>
  <si>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</si>
  <si>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Оплата  окремих супутніх послуг стороннім організаціям щодо виконання капітально-відновлювальних ремонтів трамвайних вагонів</t>
  </si>
  <si>
    <t>2.86. Послуги з проведення енергетичного обстеження  (аудиту)</t>
  </si>
  <si>
    <t>2.87. Поповнення статутного капіталу на придбання Автоматичної телефонної станції (IP АТС)</t>
  </si>
  <si>
    <t>2.89. Поповнення статутного капіталу на придбання спеціалізованої техніки - автомобіля-самоскида вантажопідйомністю 10 т</t>
  </si>
  <si>
    <t>2.90. Поповнення статутного капіталу на придбання джерел резервного живлення - зарядних станцій</t>
  </si>
  <si>
    <t>2.92. Поповнення статутного капіталу на придбання установки для автоматичного наплавлення колісних пар</t>
  </si>
  <si>
    <t>2.101. Поповнення статутного капіталу на придбання верстата листозгинального</t>
  </si>
  <si>
    <t>2.102. Поповнення статутного капіталу на придбання верстата трубо- та профілезгинального електричного</t>
  </si>
  <si>
    <t>2.104. Поповнення статутного капіталу на придбання об’єднаних важільних ножиць ручних з комплектом штампувальних блоків</t>
  </si>
  <si>
    <t>2.105. Поповнення статутного капіталу на придбання верстата стрічковопильного по металу</t>
  </si>
  <si>
    <t>2.111. Поповнення статутного капіталу на придбання спеціалізованої техніки  — автомобіля аварійно-технічної допомоги для підйому трамвайних вагонів при сході з рейок</t>
  </si>
  <si>
    <t>2.113. Поповнення статутного капіталу на придбання індукційного нагрівача підшипників</t>
  </si>
  <si>
    <t>2.119. Реконструкція сходових маршів станції «Зарічна» з монтажем підйомників для маломобільних груп населення, (будівельно-монтажні роботи)</t>
  </si>
  <si>
    <t>2.136. Коригування робочого проекту «Трамвайні колії та благоустрій на вул. Соборності в Металургійному районі м.Кривого Рогу (реконструкція)»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</si>
  <si>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</si>
  <si>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</si>
  <si>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</si>
  <si>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</si>
  <si>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Міський бюджет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</si>
  <si>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</si>
  <si>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</si>
  <si>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</si>
  <si>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</si>
  <si>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</si>
  <si>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</si>
  <si>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</si>
  <si>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можливістю  інтеграції  із  системою АССОП</t>
  </si>
  <si>
    <t>3.8. Поповнення статутного капіталу на створення системи єдиного контакт-центру</t>
  </si>
  <si>
    <t>3.9. Придбання транспортних терміналів (для оплати проїзду)</t>
  </si>
  <si>
    <t>3.10. Поповнення статутного капіталу на організацію та створення мережі місць зарядок для електромобілей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</si>
  <si>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</si>
  <si>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</si>
  <si>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t>3.13. Надання фінансового забезпечення на заходи, пов'язані з функціонуванням електронної «Карти криворіжця»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</si>
  <si>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3.14. Придбання права користування програмним забезпеченням для здійснення транспортного планування та моделювання PTV Visum (безстрокова ліцензія)</t>
  </si>
  <si>
    <t>Конкурс проєктів місцевого розвитку «Громадський бюджет»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</si>
  <si>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</si>
  <si>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</si>
  <si>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</si>
  <si>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</si>
  <si>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</si>
  <si>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</si>
  <si>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2017-2021</t>
  </si>
  <si>
    <t>5.3. Придбання номерних знаків, реєстрація, перереєстрація автотранспорту</t>
  </si>
  <si>
    <t>Усього за Програмою</t>
  </si>
  <si>
    <t>2.54. Розробка робочого проєкту на капітальний ремонт будівлі тягової підстанції №2 КП «Швидкісний трамвай»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</si>
  <si>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</si>
  <si>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2.81.  Придбання мінінавантажувача з навісним обладнанням</t>
  </si>
  <si>
    <t>2.88. Поповнення статутного капіталу на придбання спеціалізованої техніки - автокрану вантажопідйомністю 25 т</t>
  </si>
  <si>
    <t>Додаток 2</t>
  </si>
  <si>
    <t xml:space="preserve">Керуюча справами виконкому                                                          </t>
  </si>
  <si>
    <t>Олена ШОВГЕЛЯ</t>
  </si>
  <si>
    <t>2.13.  Розробка робочого проєкту «Заходи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</si>
  <si>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2.35. Розробка робочого проєкту на капітальний ремонт будівлі тягової підстанції № 57 КП «Швидкісний трамвай»</t>
  </si>
  <si>
    <t>2.36. Розробка робочого проєкту на капітальний ремонт будівлі тягової підстанції № 59  КП «Швидкісний трамвай»</t>
  </si>
  <si>
    <t>2.37. Розробка  робочого  проєкту на капітальний  ремонт будівлі   тягової підстанції № 60  КП   «Швидкісний трамвай»</t>
  </si>
  <si>
    <t>2.53. Розробка робочого проєкту на капітальний ремонт будівлі тягової підстанції №32 КП «Швидкісний трамвай»</t>
  </si>
  <si>
    <t>2.56. Капітальний ремонт будівлі тягової підстанції №2 КП «Швидкісний трамвай»</t>
  </si>
  <si>
    <t>2.57. Розробка робочого проєкту на капітальний ремонт силових трансформаторів тягових підстанцій №№25, 27, 32 КП «Швидкісний трамвай»</t>
  </si>
  <si>
    <t>2.58. Капітальний ремонт силових трансформаторів тягових підстанцій №№1, 2, 17, 25, 26, 27, 32, 51, 52, 53, 54, 55, 56, 57, 58 КП «Швидкісний трамвай»</t>
  </si>
  <si>
    <t>2.73. Капітальний ремонт акумуляторної установки понижувальної підстанції станції «Проспект Металургів» КП «Швидкісний трамвай» у Металургійному районі м. Кривого Рогу</t>
  </si>
  <si>
    <t>2.79. Розробка робочого проєкту на капітальний ремонт силових трансформаторів   тягових   підстанцій   №№1,26 Комунального підприємства «Швидкісний трамвай»</t>
  </si>
  <si>
    <t>2.121. 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</si>
  <si>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2.130. Капітальний ремонт силових трансформаторів тягових підстанцій №№ 2, 25 КП «Швидкісний трамвай»</t>
  </si>
  <si>
    <t>2.131. Капітальний ремонт силових трансформаторів тягових підстанцій №№ 32, 52 КП «Швидкісний трамвай»</t>
  </si>
  <si>
    <t>2.135. Реконструкція мийного корпусу депо № 2 КП «Швидкісний трамвай» у Саксаганському районі м. Кривого Рогу Дніпропетровської області (з монтажем автоматичної установки для мийки трамваїв). Будівельно-монтажні та пусконалагоджувальні роботи</t>
  </si>
  <si>
    <t xml:space="preserve">4.1. «Color City:  «Художній   роспис індустріального міста» (облаштування паркану  тролейбусного   депо  №2 Комунального підприємства «Міський тролейбус»)                                 </t>
  </si>
  <si>
    <t>2.33. Розробка  робочого  проєкту на капітальний ремонт покрівлі головного корпуса  депо  №2 КП «Швидкісний трамвай»</t>
  </si>
  <si>
    <t>2016-2022</t>
  </si>
  <si>
    <t>1.18. Поповнення статутного капіталу для придбання обладнання, матеріалів та  виконання робіт  на об'єкті «Технічне переоснащення розподільчого пункту 6кВ та комірок постійного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</si>
  <si>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2.34. Розробка робочого проєкту на капітальний ремонт покрівлі цеху технічних оглядів депо №1  КП «Швидкісний трамвай»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</si>
  <si>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
м. Кривий Ріг Дніпропетровської області»*</t>
  </si>
  <si>
    <t>1.44.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</si>
  <si>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</si>
  <si>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 Кривого Рогу», з коригуванням проєктно-кошторисної документації та проходженням експертизи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</si>
  <si>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Центрально-Міському районі м. Кривого Рогу в межах СП№56 вузла ДРРЗ до ПК 37+8 переїзду по вул.Українській*</t>
  </si>
  <si>
    <t>2.20. Розробка   робочого проєкту  «Капітальний ремонт станції швидкісного трамвая «Майдан праці» (інв.№423) Комунального підприємства «Швидкісний трамвай» в  Саксаганському районі 
м. Кривого Рогу», з коригуванням проєктно-кошторисної документації  та проходженням експертизи</t>
  </si>
  <si>
    <t>Джерела фінансування 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</si>
  <si>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  тощо) для технічного переоснащення систем керування  тролейбусів на системи електронного типу</t>
  </si>
  <si>
    <t>2.23. Розробка  робочого  проєкту «Трамвайні колії  та благоустрій  на 
вул. Соборності в Метарлургійному районі м. Кривого  Рогу (реконструкція)»</t>
  </si>
  <si>
    <t>2.26. Розробка робочого проєкту «Реконструкція трамвайних колій 
«пл. Домнобудівників- Кривий Ріг- Головний» на дільниці між 
вул. Серафимовича та вул. Залізничників у Довгинцівському районі 
м. Кривий Ріг Дніпропетровської області»*</t>
  </si>
  <si>
    <t>2.93. Поповнення статутного капіталу на придбання зварювального агрегату типу «Stanley Robotic» або еквіваленту для зварювання стиків рейок</t>
  </si>
  <si>
    <t>2.94. Поповнення статутного капіталу на придбання верстату рейкошліфувального типу «MPR 4000 Е» або еквіваленту</t>
  </si>
  <si>
    <t>2.95. Поповнення статутного капіталу на придбання спеціалізованої техніки —  навантажувача типу «Bobcat»  або еквіваленту з навісним обладнанням</t>
  </si>
  <si>
    <t>2.96. Поповнення статутного капіталу на придбання спеціалізованої техніки — екскаватора-навантажувача типу «ВОВСАТ В730»  або еквіваленту з навісним обладнанням</t>
  </si>
  <si>
    <t>2.97. Поповнення статутного капіталу на придбання спеціалізованої техніки —  колісного навантажувача із захватом типу «HYUNDAI R180W-9S» з навісним обладнанням або еквіваленту</t>
  </si>
  <si>
    <t>2.98. Поповнення статутного капіталу на придбання спеціалізованої техніки — крана-маніпулятора на шасі «JAC N120» або еквіваленту</t>
  </si>
  <si>
    <t>2.99. Поповнення статутного капіталу на придбання спеціалізованої техніки  — екскаватора на гусеничному ходу типу «Bobcat» або еквіваленту</t>
  </si>
  <si>
    <t>2.91. Поповнення статутного капіталу на придбання насосів типу 
«Д-200-36»  або еквіваленту в комплекті з електродвигунами для встановлення в тунельних спорудах КП «Швидкісний трамвай»</t>
  </si>
  <si>
    <t>2.106. Поповнення статутного капіталу на придбання токарно-гвинторізного верстата типу «С6266С» або еквіваленту</t>
  </si>
  <si>
    <r>
      <t xml:space="preserve">2.103. Поповнення статутного капіталу на придбання шпалопідбивок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ЕШП-Т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</si>
  <si>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2.114. Розробка робочого проєкту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Дніпропетровської області» з проведенням технічного обстеження та проходженням експертизи</t>
  </si>
  <si>
    <r>
      <t xml:space="preserve">2.107. Поповнення статутного капіталу на придбання преса гідравлічного підлогового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ОМА 654В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</si>
  <si>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2.108. Поповнення статутного капіталу на придбання зварювального інвертора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Welding Dragon DigiTIG 400P ACDC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</si>
  <si>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2.110. Поповнення статутного капіталу на придбання електростанції дизельної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АД-4-Т/230-Т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</si>
  <si>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2.126. Розробка робочого проєкту «Капітальний ремонт акумуляторної установки понижувальної підстанції станції швидкісного трамвая «Зарічна» у Покровському районі м. Кривого Рогу»</t>
  </si>
  <si>
    <t>2.127. Розробка робочого проєкту «Капітальний ремонт акумуляторної установки понижувальної підстанції станції швидкісного трамвая «Проспект Металургів» у Металургійному районі м. Кривого Рогу»</t>
  </si>
  <si>
    <t>2.128. Розробка проектно-кошторисної документації на реконструкцію понижувальної підстанції станції  швидкісного трамвая «Електрозаводська»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</si>
  <si>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пусконалагоджувальні роботи</t>
  </si>
  <si>
    <t>2.124. Коригування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Рогу»</t>
  </si>
  <si>
    <t>5.1. Оптимізація міської маршрутної мережі пасажирського транспорту</t>
  </si>
  <si>
    <t>5.2. Судові витрати та подання позовних заяв до суду</t>
  </si>
  <si>
    <t>2.100. Поповнення статутного капіталу на придбання гільйотини електромеханічної</t>
  </si>
  <si>
    <t>2.118. Розробка робочого проєкту «Реконструкція сходових маршів станції «Зарічна» з монтажем підйомників для маломобільних груп населення» з проходженням експертизи</t>
  </si>
  <si>
    <t>2.116. Розробка робочого проєкту «Капітальний ремонт естакади через водосховище КП «Швидкісний трамвай» у Металургійному 
районі  м. Кривого Рогу Дніпропетровської області»</t>
  </si>
  <si>
    <t>2.125. 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Рогу. Будівельно-монтажні роботи</t>
  </si>
  <si>
    <t>2.122. Розробка робочого проєкту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 з проходженням експертизи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</si>
  <si>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                           вул. Гетьмана Івана Мазепи, вул. Модрівську на вул. Прорізну.</t>
  </si>
  <si>
    <t>Департамент фінансів виконкому Криаворізької міської ради – головний розпорядник</t>
  </si>
  <si>
    <t>2025-2028</t>
  </si>
  <si>
    <t>2.137. Поповнення статутного капіталу для придбання транспортних засобів загального, спеціалізованого, спеціального призначення, навісного обладнання</t>
  </si>
  <si>
    <t>2016-2025</t>
  </si>
  <si>
    <t>1.53. Поповнення статутного капіталу для придбання транспортних засобів загального, спеціалізованого, спеціального призначення, навісного обладнання</t>
  </si>
  <si>
    <t>2019-2024</t>
  </si>
  <si>
    <t>2021-2024</t>
  </si>
  <si>
    <t>2021-2027</t>
  </si>
  <si>
    <t>2.3. Поповнення статутного капіталу для придбання обладнання та предметів довгострокового користування</t>
  </si>
  <si>
    <t>2016-2024</t>
  </si>
  <si>
    <t>2019-2022</t>
  </si>
  <si>
    <t>2021-2022</t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</si>
  <si>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області» з проходженням експертизи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</si>
  <si>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із системою керування тяговим двигуном постійного струму без рекуперації та дизель-генераторної установки); 
1.2.2 комплекту обладнання (мікропроцесорна система керування тяговим двигуном, дизель-генераторна установка тощо) для забезпечення джерел резервного живлення на тролейбусах </t>
  </si>
  <si>
    <t xml:space="preserve">вантажний бортовий автомобіль з краном-маніпулятором  (автомобіль-маніпулятор) 
</t>
  </si>
  <si>
    <t>1.42. Поповнення статутного капіталу на виконання робіт щодо будівництва й облаштування автоматичної портальної мийки для автотранспорту та автобусів</t>
  </si>
  <si>
    <t>1.49. Придбання нових автобусів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</si>
  <si>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Комунального підприємства «Міський тролейбус», м. 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</si>
  <si>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№ 30 Комунального підприємства «Міський тролейбус», м.Кривий Ріг, Дніпропетровська обл.»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</si>
  <si>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 Дж.Маккейна (Армавірська),  30  в  Покровському районі м. Кривий Ріг Дніпропетровської області» </t>
  </si>
  <si>
    <t>1.52. Поповнення статутного капіталу Комунального підприємства «Міський тролейбус» на  придбання  обладнання, устаткування для облаштування  захисних споруд цивільного захисту</t>
  </si>
  <si>
    <t>Управління транспорту та телекомунікацій виконкому Криворізької міської ради – головний розпорядник, 
Комунальне підприємство «Швидкісний трамвай» – одержувач коштів</t>
  </si>
  <si>
    <t>Управління транспорту та телекомунікацій виконкому Криворізької міської ради – головний розпорядник,             Комунальне підприємство «Міський тролейбус» – одержувач коштів</t>
  </si>
  <si>
    <t>1.21. Поповнення статутного капіталу для придбання обладнання, матеріалів та  виконання робіт  на об'єкті «Технічне переоснащення електрообладнання  тягової  підстанції   №6 Комунального підприємства «Міський тролейбус»,  м.Кривий Ріг, Дніпропетровська обл.»</t>
  </si>
  <si>
    <t>2.74. Капітальний ремонт акумуляторної  установки понижувальної підстанції станції «Зарічна» Комунального підприємства «Швидкісний трамвай»  у   Покровському  районі м. Кривого Рогу</t>
  </si>
  <si>
    <r>
      <t xml:space="preserve">2.109. Поповнення статутного капіталу на придбання ультразвукового однониткового рейкового дефектоскопа 
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УДС2-77</t>
    </r>
    <r>
      <rPr>
        <sz val="10.5"/>
        <rFont val="Calibri"/>
        <family val="2"/>
        <charset val="204"/>
      </rPr>
      <t>»</t>
    </r>
  </si>
  <si>
    <t>2.117. Капітальний ремонт естакади через водосховище 
Комунального підприємства «Швидкісний трамвай» у Металургійному районі м. Кривого Рогу Дніпропетровської області». Будівельно-монтажні роботи</t>
  </si>
  <si>
    <t>2.129. Капітальний ремонт силових трансформаторів тягових підстанцій №№ 17, 27 Комунального підприємства «Швидкісний трамвай»</t>
  </si>
  <si>
    <t>2.132. Розробка робочого проєкту «Реконструкція цеху технічних оглядів депо №1 Комунального підприємства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</si>
  <si>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2.134. Розробка робочого проєкту «Реконструкція мийного корпусу депо № 2 Комунального підприємства «Швидкісний трамвай» у Саксаганському районі м. Кривого Рогу Дніпропетровської області» (з монтажем автоматичної установки для мийки трамваїв)</t>
  </si>
  <si>
    <t>5.4. Послуги, пов'язані із залученням кредиту від ЄБРР у межах реалізації Проєкту екстреної підтримки ліквідності існуючих клієнтів ЄБРР - комунальних підприємств м. Кривий Ріг з метою пом'якшення впливу війни проти України в рамках «Програми забезпечення стійкості» (банківські послуги та інші)</t>
  </si>
  <si>
    <t>2.112. Поповнення статутного капіталу на придбання автомобіля вантажопасажирського вантажопідйомністю 1т та пасажиромісткістю не менше шести осіб</t>
  </si>
  <si>
    <t>2.115. Капітальний ремонт захисної споруди цивільного захисту (цивільної оборони) №14191 Комунального підприємства «Швидкісний трамвай» за адресою: майдан Олександра Химиченка, 1 у Саксаганському районі м. Кривого Рогу  Дніпропетровської області. Будівельно-монтажні роботи</t>
  </si>
  <si>
    <t>до рішення  міської ради</t>
  </si>
  <si>
    <t>2021-2025</t>
  </si>
  <si>
    <t>до рішення виконкому міської ради</t>
  </si>
  <si>
    <t>2.138. Заходи, пов'язані з ліквідацією наслідків збройної агресії Російської Федерації</t>
  </si>
  <si>
    <t>Управління транспорту та телекомунікацій виконкому Криворізької міської ради – головний розпорядник коштів, 
Комунальне підприємство «Швидкісний трамвай» – одержувач коштів</t>
  </si>
  <si>
    <r>
      <t xml:space="preserve">2.103. Поповнення статутного капіталу на придбання шпалопідбивок типу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ЕШП-Т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або еквіваленту</t>
    </r>
  </si>
  <si>
    <r>
      <t xml:space="preserve">2.107. Поповнення статутного капіталу на придбання преса гідравлічного підлогового типу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ОМА 654В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або еквіваленту</t>
    </r>
  </si>
  <si>
    <r>
      <t xml:space="preserve">2.108. Поповнення статутного капіталу на придбання зварювального інвертора типу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Welding Dragon DigiTIG 400P ACDC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або еквіваленту</t>
    </r>
  </si>
  <si>
    <r>
      <t xml:space="preserve">2.109. Поповнення статутного капіталу на придбання ультразвукового однониткового рейкового дефектоскопа 
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УДС2-77</t>
    </r>
    <r>
      <rPr>
        <sz val="12"/>
        <rFont val="Calibri"/>
        <family val="2"/>
        <charset val="204"/>
      </rPr>
      <t>»</t>
    </r>
  </si>
  <si>
    <r>
      <t xml:space="preserve">2.110. Поповнення статутного капіталу на придбання електростанції дизельної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АД-4-Т/230-Т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або еквіваленту</t>
    </r>
  </si>
  <si>
    <t xml:space="preserve">Управління транспорту та телекомунікацій виконкому Криворізької міської ради – головний розпорядник коштів, 
Комунальне підприємство «Швидкісний трамвай» – одержувач коштів
</t>
  </si>
  <si>
    <t xml:space="preserve">В.о. керуючої справами виконкому –                                                           </t>
  </si>
  <si>
    <t xml:space="preserve">заступник міського голови                                                                                                        </t>
  </si>
  <si>
    <t>Надія ПОДОПЛЄЛОВА</t>
  </si>
  <si>
    <t>Бюджет Криворізької міської територіальної громади, кредитні кошти та інші джерела, не заборонені чинним законодавством.</t>
  </si>
  <si>
    <t xml:space="preserve">ПРОГРАМА </t>
  </si>
  <si>
    <t xml:space="preserve"> розвитку підприємств міського електро- та автотранспорту на 2016–2028 роки</t>
  </si>
  <si>
    <t>Бюджет Криворізької міської територіальної громади, кредитні кошти та інші джерела, не заборонені чинним законодавством</t>
  </si>
  <si>
    <t>до рішення міської ради</t>
  </si>
  <si>
    <t>1.49. Придбання автобусів великої місткості міського типу</t>
  </si>
  <si>
    <t>2016-2028</t>
  </si>
  <si>
    <t xml:space="preserve">2.72. Трамвайні колії та благоустрій на вул. Соборності в Метарлургійному районі м. Кривого Рогу (реконструкція) </t>
  </si>
  <si>
    <t xml:space="preserve">2.96. Реалізація публічних інвестиційних проєктів в галузі муніципальної інфраструктури та послуг за напрямком створення безбар'єрних маршрутів у населених пунктах (Реконструкція станцій) </t>
  </si>
  <si>
    <t>2026-2028</t>
  </si>
  <si>
    <t>2.101. Поповнення статутного капіталу для реконструкції тягових підстанцій</t>
  </si>
  <si>
    <t>2.102. Придбання та встановлення модульної тягової підстанції</t>
  </si>
  <si>
    <t>2.104. Модернізація кранів мостових</t>
  </si>
  <si>
    <t xml:space="preserve">Додаток 2 </t>
  </si>
  <si>
    <t>2.117. Розробка робочого проєкту «Капітальний ремонт штучної  споруди «Естакада через  водосховище» Кому-нального  підприємства  «Швидкісний трамвай»  (з про-ходженням експертизи), розташованої в Металургійному районі міста Кривого Рогу Дніпропетровської області»</t>
  </si>
  <si>
    <t xml:space="preserve">                                                                                 27.08.2025 №3907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</si>
</sst>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.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Arial Cyr"/>
      <family val="2"/>
      <charset val="204"/>
    </font>
    <font>
      <sz val="12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  <font>
      <i/>
      <sz val="18.5"/>
      <name val="Times New Roman"/>
      <family val="1"/>
      <charset val="204"/>
    </font>
    <font>
      <sz val="10.5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i/>
      <sz val="21.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Arial Cyr"/>
      <family val="2"/>
      <charset val="204"/>
    </font>
    <font>
      <sz val="25"/>
      <name val="Arial Cyr"/>
      <family val="2"/>
      <charset val="204"/>
    </font>
    <font>
      <b/>
      <i/>
      <sz val="25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color theme="1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b/>
      <i/>
      <sz val="10.5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8.5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/>
      <right/>
      <top style="thin">
        <color indexed="59"/>
      </top>
      <bottom/>
      <diagonal/>
    </border>
  </borders>
  <cellStyleXfs count="1">
    <xf numFmtId="0" fontId="0" fillId="0" borderId="0"/>
  </cellStyleXfs>
  <cellXfs count="52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8" fillId="2" borderId="4" xfId="0" applyFont="1" applyFill="1" applyBorder="1" applyAlignment="1">
      <alignment vertical="top" wrapText="1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4" fontId="8" fillId="2" borderId="3" xfId="0" applyNumberFormat="1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top" wrapText="1"/>
    </xf>
    <xf numFmtId="0" fontId="8" fillId="2" borderId="7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top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1" xfId="0" applyFont="1" applyFill="1" applyBorder="1" applyAlignment="1">
      <alignment wrapText="1"/>
    </xf>
    <xf numFmtId="4" fontId="7" fillId="2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left" vertical="top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2" borderId="0" xfId="0" applyFont="1" applyFill="1"/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/>
    <xf numFmtId="0" fontId="21" fillId="2" borderId="0" xfId="0" applyFont="1" applyFill="1"/>
    <xf numFmtId="0" fontId="8" fillId="2" borderId="8" xfId="0" applyFont="1" applyFill="1" applyBorder="1" applyAlignment="1">
      <alignment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11" xfId="0" applyFont="1" applyFill="1" applyBorder="1" applyAlignment="1">
      <alignment vertical="top" wrapText="1"/>
    </xf>
    <xf numFmtId="0" fontId="0" fillId="2" borderId="11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vertical="top" wrapText="1"/>
    </xf>
    <xf numFmtId="0" fontId="18" fillId="2" borderId="4" xfId="0" applyFont="1" applyFill="1" applyBorder="1" applyAlignment="1">
      <alignment vertical="top" wrapText="1"/>
    </xf>
    <xf numFmtId="0" fontId="2" fillId="2" borderId="24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/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center" vertical="top" wrapText="1"/>
    </xf>
    <xf numFmtId="0" fontId="0" fillId="5" borderId="0" xfId="0" applyFont="1" applyFill="1"/>
    <xf numFmtId="0" fontId="8" fillId="2" borderId="8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4" fontId="11" fillId="2" borderId="34" xfId="0" applyNumberFormat="1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left" vertical="top" wrapText="1"/>
    </xf>
    <xf numFmtId="4" fontId="8" fillId="2" borderId="22" xfId="0" applyNumberFormat="1" applyFont="1" applyFill="1" applyBorder="1" applyAlignment="1">
      <alignment horizontal="left" vertical="top" wrapText="1"/>
    </xf>
    <xf numFmtId="4" fontId="8" fillId="2" borderId="36" xfId="0" applyNumberFormat="1" applyFont="1" applyFill="1" applyBorder="1" applyAlignment="1">
      <alignment horizontal="left" vertical="top" wrapText="1"/>
    </xf>
    <xf numFmtId="4" fontId="8" fillId="2" borderId="37" xfId="0" applyNumberFormat="1" applyFont="1" applyFill="1" applyBorder="1" applyAlignment="1">
      <alignment horizontal="left" vertical="top" wrapText="1"/>
    </xf>
    <xf numFmtId="4" fontId="8" fillId="2" borderId="38" xfId="0" applyNumberFormat="1" applyFont="1" applyFill="1" applyBorder="1" applyAlignment="1">
      <alignment horizontal="left" vertical="top" wrapText="1"/>
    </xf>
    <xf numFmtId="4" fontId="8" fillId="2" borderId="39" xfId="0" applyNumberFormat="1" applyFont="1" applyFill="1" applyBorder="1" applyAlignment="1">
      <alignment horizontal="left" vertical="top" wrapText="1"/>
    </xf>
    <xf numFmtId="0" fontId="8" fillId="2" borderId="40" xfId="0" applyFont="1" applyFill="1" applyBorder="1" applyAlignment="1">
      <alignment horizontal="left" vertical="top" wrapText="1"/>
    </xf>
    <xf numFmtId="0" fontId="8" fillId="2" borderId="41" xfId="0" applyFont="1" applyFill="1" applyBorder="1" applyAlignment="1">
      <alignment horizontal="left" vertical="top" wrapText="1"/>
    </xf>
    <xf numFmtId="0" fontId="8" fillId="2" borderId="42" xfId="0" applyFont="1" applyFill="1" applyBorder="1" applyAlignment="1">
      <alignment horizontal="left" vertical="top" wrapText="1"/>
    </xf>
    <xf numFmtId="0" fontId="8" fillId="2" borderId="5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4" fontId="8" fillId="2" borderId="55" xfId="0" applyNumberFormat="1" applyFont="1" applyFill="1" applyBorder="1" applyAlignment="1">
      <alignment horizontal="left" vertical="top" wrapText="1"/>
    </xf>
    <xf numFmtId="4" fontId="8" fillId="2" borderId="56" xfId="0" applyNumberFormat="1" applyFont="1" applyFill="1" applyBorder="1" applyAlignment="1">
      <alignment horizontal="left" vertical="top" wrapText="1"/>
    </xf>
    <xf numFmtId="4" fontId="8" fillId="2" borderId="52" xfId="0" applyNumberFormat="1" applyFont="1" applyFill="1" applyBorder="1" applyAlignment="1">
      <alignment horizontal="left" vertical="top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4" fontId="8" fillId="2" borderId="50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4" fontId="13" fillId="2" borderId="11" xfId="0" applyNumberFormat="1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top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top" wrapText="1"/>
    </xf>
    <xf numFmtId="0" fontId="8" fillId="2" borderId="37" xfId="0" applyNumberFormat="1" applyFont="1" applyFill="1" applyBorder="1" applyAlignment="1">
      <alignment horizontal="left" vertical="top" wrapText="1"/>
    </xf>
    <xf numFmtId="0" fontId="8" fillId="2" borderId="58" xfId="0" applyFont="1" applyFill="1" applyBorder="1" applyAlignment="1">
      <alignment horizontal="left" vertical="top" wrapText="1"/>
    </xf>
    <xf numFmtId="0" fontId="8" fillId="2" borderId="59" xfId="0" applyFont="1" applyFill="1" applyBorder="1" applyAlignment="1">
      <alignment horizontal="left" vertical="top" wrapText="1"/>
    </xf>
    <xf numFmtId="0" fontId="8" fillId="2" borderId="60" xfId="0" applyFont="1" applyFill="1" applyBorder="1" applyAlignment="1">
      <alignment horizontal="left" vertical="top" wrapText="1"/>
    </xf>
    <xf numFmtId="0" fontId="8" fillId="2" borderId="37" xfId="0" applyFont="1" applyFill="1" applyBorder="1" applyAlignment="1">
      <alignment horizontal="left" vertical="top" wrapText="1"/>
    </xf>
    <xf numFmtId="0" fontId="8" fillId="4" borderId="59" xfId="0" applyFont="1" applyFill="1" applyBorder="1" applyAlignment="1">
      <alignment horizontal="left" vertical="top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top" wrapText="1"/>
    </xf>
    <xf numFmtId="4" fontId="8" fillId="3" borderId="50" xfId="0" applyNumberFormat="1" applyFont="1" applyFill="1" applyBorder="1" applyAlignment="1">
      <alignment horizontal="center" vertical="center"/>
    </xf>
    <xf numFmtId="4" fontId="8" fillId="3" borderId="50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16" fontId="2" fillId="2" borderId="37" xfId="0" applyNumberFormat="1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center" vertical="center" wrapText="1"/>
    </xf>
    <xf numFmtId="16" fontId="2" fillId="2" borderId="39" xfId="0" applyNumberFormat="1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2" fillId="2" borderId="61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top"/>
    </xf>
    <xf numFmtId="0" fontId="9" fillId="2" borderId="50" xfId="0" applyFont="1" applyFill="1" applyBorder="1" applyAlignment="1">
      <alignment vertical="top" wrapText="1"/>
    </xf>
    <xf numFmtId="0" fontId="2" fillId="2" borderId="46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top" wrapText="1"/>
    </xf>
    <xf numFmtId="0" fontId="2" fillId="2" borderId="48" xfId="0" applyFont="1" applyFill="1" applyBorder="1" applyAlignment="1">
      <alignment horizontal="center" vertical="top"/>
    </xf>
    <xf numFmtId="0" fontId="9" fillId="2" borderId="49" xfId="0" applyFont="1" applyFill="1" applyBorder="1" applyAlignment="1">
      <alignment vertical="top" wrapText="1"/>
    </xf>
    <xf numFmtId="0" fontId="2" fillId="2" borderId="49" xfId="0" applyFont="1" applyFill="1" applyBorder="1" applyAlignment="1">
      <alignment vertical="top" wrapText="1"/>
    </xf>
    <xf numFmtId="0" fontId="2" fillId="2" borderId="49" xfId="0" applyFont="1" applyFill="1" applyBorder="1" applyAlignment="1">
      <alignment horizontal="center" vertical="top" wrapText="1"/>
    </xf>
    <xf numFmtId="0" fontId="19" fillId="2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54" xfId="0" applyFont="1" applyFill="1" applyBorder="1" applyAlignment="1">
      <alignment vertical="top" wrapText="1"/>
    </xf>
    <xf numFmtId="0" fontId="16" fillId="2" borderId="54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center" vertical="top" wrapText="1"/>
    </xf>
    <xf numFmtId="4" fontId="8" fillId="3" borderId="11" xfId="0" applyNumberFormat="1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top" wrapText="1"/>
    </xf>
    <xf numFmtId="0" fontId="8" fillId="2" borderId="37" xfId="0" applyFont="1" applyFill="1" applyBorder="1" applyAlignment="1">
      <alignment vertical="top" wrapText="1"/>
    </xf>
    <xf numFmtId="0" fontId="8" fillId="2" borderId="38" xfId="0" applyFont="1" applyFill="1" applyBorder="1" applyAlignment="1">
      <alignment vertical="top" wrapText="1"/>
    </xf>
    <xf numFmtId="0" fontId="8" fillId="2" borderId="36" xfId="0" applyFont="1" applyFill="1" applyBorder="1" applyAlignment="1">
      <alignment vertical="top" wrapText="1"/>
    </xf>
    <xf numFmtId="0" fontId="10" fillId="2" borderId="50" xfId="0" applyFont="1" applyFill="1" applyBorder="1" applyAlignment="1">
      <alignment vertical="top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2" fillId="2" borderId="38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4" fontId="8" fillId="4" borderId="3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4" fontId="8" fillId="4" borderId="37" xfId="0" applyNumberFormat="1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top" wrapText="1"/>
    </xf>
    <xf numFmtId="4" fontId="1" fillId="2" borderId="0" xfId="0" applyNumberFormat="1" applyFont="1" applyFill="1"/>
    <xf numFmtId="0" fontId="9" fillId="2" borderId="65" xfId="0" applyFont="1" applyFill="1" applyBorder="1" applyAlignment="1">
      <alignment vertical="top" wrapText="1"/>
    </xf>
    <xf numFmtId="0" fontId="8" fillId="2" borderId="65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vertical="top" wrapText="1"/>
    </xf>
    <xf numFmtId="4" fontId="8" fillId="2" borderId="65" xfId="0" applyNumberFormat="1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top" wrapText="1"/>
    </xf>
    <xf numFmtId="4" fontId="8" fillId="3" borderId="65" xfId="0" applyNumberFormat="1" applyFont="1" applyFill="1" applyBorder="1" applyAlignment="1">
      <alignment horizontal="center" vertical="center"/>
    </xf>
    <xf numFmtId="4" fontId="8" fillId="3" borderId="65" xfId="0" applyNumberFormat="1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left" vertical="top" wrapText="1"/>
    </xf>
    <xf numFmtId="0" fontId="2" fillId="2" borderId="65" xfId="0" applyFont="1" applyFill="1" applyBorder="1" applyAlignment="1">
      <alignment horizontal="center" vertical="top" wrapText="1"/>
    </xf>
    <xf numFmtId="4" fontId="8" fillId="2" borderId="18" xfId="0" applyNumberFormat="1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8" fillId="2" borderId="65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6" fillId="2" borderId="0" xfId="0" applyFont="1" applyFill="1" applyBorder="1" applyAlignment="1">
      <alignment horizontal="left"/>
    </xf>
    <xf numFmtId="0" fontId="18" fillId="2" borderId="0" xfId="0" applyFont="1" applyFill="1"/>
    <xf numFmtId="0" fontId="15" fillId="2" borderId="28" xfId="0" applyFont="1" applyFill="1" applyBorder="1" applyAlignment="1">
      <alignment horizontal="center" vertical="top" wrapText="1"/>
    </xf>
    <xf numFmtId="0" fontId="27" fillId="2" borderId="65" xfId="0" applyFont="1" applyFill="1" applyBorder="1" applyAlignment="1">
      <alignment horizontal="center" vertical="top" wrapText="1"/>
    </xf>
    <xf numFmtId="0" fontId="15" fillId="2" borderId="42" xfId="0" applyFont="1" applyFill="1" applyBorder="1" applyAlignment="1">
      <alignment horizontal="justify" vertical="top" wrapText="1"/>
    </xf>
    <xf numFmtId="0" fontId="15" fillId="3" borderId="20" xfId="0" applyFont="1" applyFill="1" applyBorder="1" applyAlignment="1">
      <alignment horizontal="center" vertical="top" wrapText="1"/>
    </xf>
    <xf numFmtId="0" fontId="15" fillId="2" borderId="65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top" wrapText="1"/>
    </xf>
    <xf numFmtId="0" fontId="18" fillId="2" borderId="37" xfId="0" applyFont="1" applyFill="1" applyBorder="1" applyAlignment="1">
      <alignment horizontal="left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16" fontId="18" fillId="2" borderId="37" xfId="0" applyNumberFormat="1" applyFont="1" applyFill="1" applyBorder="1" applyAlignment="1">
      <alignment horizontal="left" vertical="top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top" wrapText="1"/>
    </xf>
    <xf numFmtId="16" fontId="18" fillId="2" borderId="39" xfId="0" applyNumberFormat="1" applyFont="1" applyFill="1" applyBorder="1" applyAlignment="1">
      <alignment horizontal="left" vertical="top" wrapText="1"/>
    </xf>
    <xf numFmtId="0" fontId="28" fillId="2" borderId="4" xfId="0" applyFont="1" applyFill="1" applyBorder="1" applyAlignment="1">
      <alignment horizontal="center" wrapText="1"/>
    </xf>
    <xf numFmtId="0" fontId="18" fillId="2" borderId="34" xfId="0" applyFont="1" applyFill="1" applyBorder="1" applyAlignment="1">
      <alignment horizontal="left" vertical="top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left" vertical="top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left" vertical="top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left" vertical="top" wrapText="1"/>
    </xf>
    <xf numFmtId="0" fontId="27" fillId="2" borderId="7" xfId="0" applyFont="1" applyFill="1" applyBorder="1" applyAlignment="1">
      <alignment vertical="top" wrapText="1"/>
    </xf>
    <xf numFmtId="0" fontId="18" fillId="2" borderId="38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vertical="top" wrapText="1"/>
    </xf>
    <xf numFmtId="0" fontId="18" fillId="2" borderId="61" xfId="0" applyFont="1" applyFill="1" applyBorder="1" applyAlignment="1">
      <alignment horizontal="left" vertical="top" wrapText="1"/>
    </xf>
    <xf numFmtId="0" fontId="18" fillId="2" borderId="33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top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left" vertical="top" wrapText="1"/>
    </xf>
    <xf numFmtId="0" fontId="28" fillId="2" borderId="11" xfId="0" applyFont="1" applyFill="1" applyBorder="1" applyAlignment="1">
      <alignment horizontal="center" wrapText="1"/>
    </xf>
    <xf numFmtId="0" fontId="27" fillId="2" borderId="11" xfId="0" applyFont="1" applyFill="1" applyBorder="1" applyAlignment="1">
      <alignment horizontal="center" vertical="top" wrapText="1"/>
    </xf>
    <xf numFmtId="0" fontId="15" fillId="2" borderId="65" xfId="0" applyFont="1" applyFill="1" applyBorder="1" applyAlignment="1">
      <alignment horizontal="left" vertical="top" wrapText="1"/>
    </xf>
    <xf numFmtId="0" fontId="18" fillId="2" borderId="65" xfId="0" applyFont="1" applyFill="1" applyBorder="1" applyAlignment="1">
      <alignment horizontal="center" vertical="top" wrapText="1"/>
    </xf>
    <xf numFmtId="0" fontId="18" fillId="2" borderId="24" xfId="0" applyFont="1" applyFill="1" applyBorder="1" applyAlignment="1">
      <alignment vertical="center" wrapText="1"/>
    </xf>
    <xf numFmtId="0" fontId="18" fillId="2" borderId="28" xfId="0" applyFont="1" applyFill="1" applyBorder="1" applyAlignment="1">
      <alignment horizontal="center" vertical="top"/>
    </xf>
    <xf numFmtId="0" fontId="27" fillId="2" borderId="65" xfId="0" applyFont="1" applyFill="1" applyBorder="1" applyAlignment="1">
      <alignment vertical="top" wrapText="1"/>
    </xf>
    <xf numFmtId="0" fontId="18" fillId="2" borderId="18" xfId="0" applyFont="1" applyFill="1" applyBorder="1" applyAlignment="1">
      <alignment vertical="top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top"/>
    </xf>
    <xf numFmtId="0" fontId="18" fillId="2" borderId="46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/>
    <xf numFmtId="0" fontId="28" fillId="2" borderId="7" xfId="0" applyFont="1" applyFill="1" applyBorder="1" applyAlignment="1">
      <alignment wrapText="1"/>
    </xf>
    <xf numFmtId="0" fontId="18" fillId="2" borderId="38" xfId="0" applyFont="1" applyFill="1" applyBorder="1" applyAlignment="1">
      <alignment vertical="top" wrapText="1"/>
    </xf>
    <xf numFmtId="0" fontId="28" fillId="2" borderId="8" xfId="0" applyFont="1" applyFill="1" applyBorder="1" applyAlignment="1"/>
    <xf numFmtId="0" fontId="28" fillId="2" borderId="11" xfId="0" applyFont="1" applyFill="1" applyBorder="1" applyAlignment="1">
      <alignment wrapText="1"/>
    </xf>
    <xf numFmtId="0" fontId="18" fillId="2" borderId="48" xfId="0" applyFont="1" applyFill="1" applyBorder="1" applyAlignment="1">
      <alignment horizontal="center" vertical="top"/>
    </xf>
    <xf numFmtId="0" fontId="27" fillId="2" borderId="49" xfId="0" applyFont="1" applyFill="1" applyBorder="1" applyAlignment="1">
      <alignment vertical="top" wrapText="1"/>
    </xf>
    <xf numFmtId="0" fontId="18" fillId="2" borderId="49" xfId="0" applyFont="1" applyFill="1" applyBorder="1" applyAlignment="1">
      <alignment vertical="top" wrapText="1"/>
    </xf>
    <xf numFmtId="0" fontId="18" fillId="2" borderId="4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4" fontId="15" fillId="2" borderId="2" xfId="0" applyNumberFormat="1" applyFont="1" applyFill="1" applyBorder="1" applyAlignment="1">
      <alignment horizontal="left" vertical="top" wrapText="1"/>
    </xf>
    <xf numFmtId="4" fontId="15" fillId="2" borderId="3" xfId="0" applyNumberFormat="1" applyFont="1" applyFill="1" applyBorder="1" applyAlignment="1">
      <alignment horizontal="left" vertical="top" wrapText="1"/>
    </xf>
    <xf numFmtId="0" fontId="18" fillId="2" borderId="38" xfId="0" applyFont="1" applyFill="1" applyBorder="1" applyAlignment="1">
      <alignment vertical="top" wrapText="1"/>
    </xf>
    <xf numFmtId="0" fontId="18" fillId="2" borderId="54" xfId="0" applyFont="1" applyFill="1" applyBorder="1" applyAlignment="1">
      <alignment vertical="top" wrapText="1"/>
    </xf>
    <xf numFmtId="0" fontId="28" fillId="2" borderId="54" xfId="0" applyFont="1" applyFill="1" applyBorder="1" applyAlignment="1">
      <alignment vertical="top" wrapText="1"/>
    </xf>
    <xf numFmtId="4" fontId="13" fillId="2" borderId="3" xfId="0" applyNumberFormat="1" applyFont="1" applyFill="1" applyBorder="1" applyAlignment="1">
      <alignment horizontal="center" vertical="center"/>
    </xf>
    <xf numFmtId="0" fontId="29" fillId="2" borderId="0" xfId="0" applyFont="1" applyFill="1"/>
    <xf numFmtId="0" fontId="31" fillId="2" borderId="0" xfId="0" applyFont="1" applyFill="1"/>
    <xf numFmtId="0" fontId="30" fillId="2" borderId="0" xfId="0" applyFont="1" applyFill="1"/>
    <xf numFmtId="0" fontId="8" fillId="2" borderId="4" xfId="0" applyFont="1" applyFill="1" applyBorder="1" applyAlignment="1">
      <alignment horizontal="center" vertical="top" wrapText="1"/>
    </xf>
    <xf numFmtId="4" fontId="33" fillId="2" borderId="3" xfId="0" applyNumberFormat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vertical="top" wrapText="1"/>
    </xf>
    <xf numFmtId="0" fontId="34" fillId="2" borderId="11" xfId="0" applyFont="1" applyFill="1" applyBorder="1" applyAlignment="1">
      <alignment vertical="top" wrapText="1"/>
    </xf>
    <xf numFmtId="4" fontId="33" fillId="2" borderId="56" xfId="0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top" wrapText="1"/>
    </xf>
    <xf numFmtId="0" fontId="33" fillId="2" borderId="3" xfId="0" applyFont="1" applyFill="1" applyBorder="1" applyAlignment="1">
      <alignment horizontal="center" vertical="center" wrapText="1"/>
    </xf>
    <xf numFmtId="4" fontId="33" fillId="2" borderId="3" xfId="0" applyNumberFormat="1" applyFont="1" applyFill="1" applyBorder="1" applyAlignment="1">
      <alignment horizontal="center" vertical="center"/>
    </xf>
    <xf numFmtId="0" fontId="35" fillId="2" borderId="0" xfId="0" applyFont="1" applyFill="1"/>
    <xf numFmtId="0" fontId="34" fillId="2" borderId="8" xfId="0" applyFont="1" applyFill="1" applyBorder="1" applyAlignment="1">
      <alignment vertical="top" wrapText="1"/>
    </xf>
    <xf numFmtId="4" fontId="33" fillId="2" borderId="3" xfId="0" applyNumberFormat="1" applyFont="1" applyFill="1" applyBorder="1" applyAlignment="1">
      <alignment horizontal="left" vertical="top" wrapText="1"/>
    </xf>
    <xf numFmtId="0" fontId="33" fillId="2" borderId="56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justify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left" vertical="top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left" vertical="top" wrapText="1"/>
    </xf>
    <xf numFmtId="0" fontId="15" fillId="2" borderId="37" xfId="0" applyFont="1" applyFill="1" applyBorder="1" applyAlignment="1">
      <alignment horizontal="left" vertical="top" wrapText="1"/>
    </xf>
    <xf numFmtId="0" fontId="15" fillId="2" borderId="31" xfId="0" applyFont="1" applyFill="1" applyBorder="1" applyAlignment="1">
      <alignment horizontal="center" vertical="center" wrapText="1"/>
    </xf>
    <xf numFmtId="0" fontId="15" fillId="4" borderId="59" xfId="0" applyFont="1" applyFill="1" applyBorder="1" applyAlignment="1">
      <alignment horizontal="left" vertical="top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4" fontId="15" fillId="2" borderId="11" xfId="0" applyNumberFormat="1" applyFont="1" applyFill="1" applyBorder="1" applyAlignment="1">
      <alignment horizontal="center" vertical="center"/>
    </xf>
    <xf numFmtId="4" fontId="15" fillId="2" borderId="11" xfId="0" applyNumberFormat="1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/>
    </xf>
    <xf numFmtId="4" fontId="15" fillId="3" borderId="3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4" fontId="15" fillId="3" borderId="11" xfId="0" applyNumberFormat="1" applyFont="1" applyFill="1" applyBorder="1" applyAlignment="1">
      <alignment horizontal="center" vertical="center"/>
    </xf>
    <xf numFmtId="4" fontId="15" fillId="3" borderId="11" xfId="0" applyNumberFormat="1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left" vertical="top" wrapText="1"/>
    </xf>
    <xf numFmtId="0" fontId="15" fillId="3" borderId="28" xfId="0" applyFont="1" applyFill="1" applyBorder="1" applyAlignment="1">
      <alignment horizontal="center" vertical="center" wrapText="1"/>
    </xf>
    <xf numFmtId="4" fontId="15" fillId="3" borderId="65" xfId="0" applyNumberFormat="1" applyFont="1" applyFill="1" applyBorder="1" applyAlignment="1">
      <alignment horizontal="center" vertical="center"/>
    </xf>
    <xf numFmtId="4" fontId="15" fillId="3" borderId="65" xfId="0" applyNumberFormat="1" applyFont="1" applyFill="1" applyBorder="1" applyAlignment="1">
      <alignment horizontal="center" vertical="center" wrapText="1"/>
    </xf>
    <xf numFmtId="4" fontId="15" fillId="2" borderId="65" xfId="0" applyNumberFormat="1" applyFont="1" applyFill="1" applyBorder="1" applyAlignment="1">
      <alignment horizontal="center" vertical="center" wrapText="1"/>
    </xf>
    <xf numFmtId="4" fontId="7" fillId="2" borderId="65" xfId="0" applyNumberFormat="1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vertical="top" wrapText="1"/>
    </xf>
    <xf numFmtId="0" fontId="28" fillId="2" borderId="24" xfId="0" applyFont="1" applyFill="1" applyBorder="1" applyAlignment="1">
      <alignment vertical="top" wrapText="1"/>
    </xf>
    <xf numFmtId="0" fontId="37" fillId="2" borderId="49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top" wrapText="1"/>
    </xf>
    <xf numFmtId="0" fontId="12" fillId="2" borderId="22" xfId="0" applyFont="1" applyFill="1" applyBorder="1" applyAlignment="1">
      <alignment horizontal="center" vertical="top" wrapText="1"/>
    </xf>
    <xf numFmtId="0" fontId="12" fillId="3" borderId="34" xfId="0" applyFont="1" applyFill="1" applyBorder="1" applyAlignment="1">
      <alignment horizontal="center" vertical="top" wrapText="1"/>
    </xf>
    <xf numFmtId="0" fontId="12" fillId="3" borderId="22" xfId="0" applyFont="1" applyFill="1" applyBorder="1" applyAlignment="1">
      <alignment horizontal="center" vertical="top" wrapText="1"/>
    </xf>
    <xf numFmtId="0" fontId="12" fillId="3" borderId="53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top" wrapText="1"/>
    </xf>
    <xf numFmtId="0" fontId="19" fillId="2" borderId="6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8" fillId="2" borderId="30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top" wrapText="1"/>
    </xf>
    <xf numFmtId="0" fontId="27" fillId="2" borderId="1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6" fillId="2" borderId="0" xfId="0" applyFont="1" applyFill="1" applyBorder="1" applyAlignment="1">
      <alignment horizontal="left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8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18" fillId="2" borderId="38" xfId="0" applyFont="1" applyFill="1" applyBorder="1" applyAlignment="1">
      <alignment vertical="top" wrapText="1"/>
    </xf>
    <xf numFmtId="4" fontId="39" fillId="2" borderId="3" xfId="0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33" fillId="2" borderId="3" xfId="0" applyFont="1" applyFill="1" applyBorder="1" applyAlignment="1">
      <alignment vertical="top" wrapText="1"/>
    </xf>
    <xf numFmtId="0" fontId="34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left" vertical="center" wrapText="1"/>
    </xf>
    <xf numFmtId="0" fontId="12" fillId="2" borderId="65" xfId="0" applyFont="1" applyFill="1" applyBorder="1" applyAlignment="1">
      <alignment horizontal="center" vertical="top" wrapText="1"/>
    </xf>
    <xf numFmtId="0" fontId="19" fillId="2" borderId="65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0" fontId="15" fillId="2" borderId="11" xfId="0" applyFont="1" applyFill="1" applyBorder="1" applyAlignment="1">
      <alignment vertical="top" wrapText="1"/>
    </xf>
    <xf numFmtId="0" fontId="15" fillId="2" borderId="18" xfId="0" applyFont="1" applyFill="1" applyBorder="1" applyAlignment="1">
      <alignment horizontal="left" vertical="top" wrapText="1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3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8" fillId="2" borderId="6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27" fillId="2" borderId="46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top" wrapText="1"/>
    </xf>
    <xf numFmtId="0" fontId="27" fillId="2" borderId="46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27" fillId="2" borderId="45" xfId="0" applyFont="1" applyFill="1" applyBorder="1" applyAlignment="1">
      <alignment horizontal="center" vertical="top" wrapText="1"/>
    </xf>
    <xf numFmtId="0" fontId="27" fillId="2" borderId="47" xfId="0" applyFont="1" applyFill="1" applyBorder="1" applyAlignment="1">
      <alignment horizontal="center" vertical="top" wrapText="1"/>
    </xf>
    <xf numFmtId="0" fontId="27" fillId="2" borderId="40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27" fillId="2" borderId="47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27" fillId="2" borderId="44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vertical="center" wrapText="1"/>
    </xf>
    <xf numFmtId="0" fontId="27" fillId="2" borderId="65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top" wrapText="1"/>
    </xf>
    <xf numFmtId="0" fontId="18" fillId="2" borderId="28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top" wrapText="1"/>
    </xf>
    <xf numFmtId="0" fontId="27" fillId="2" borderId="20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wrapText="1"/>
    </xf>
    <xf numFmtId="0" fontId="27" fillId="2" borderId="24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vertical="top" wrapText="1"/>
    </xf>
    <xf numFmtId="0" fontId="28" fillId="2" borderId="29" xfId="0" applyFont="1" applyFill="1" applyBorder="1" applyAlignment="1">
      <alignment vertical="top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27" fillId="2" borderId="67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vertical="top" wrapText="1"/>
    </xf>
    <xf numFmtId="0" fontId="18" fillId="2" borderId="68" xfId="0" applyFont="1" applyFill="1" applyBorder="1" applyAlignment="1">
      <alignment vertical="top" wrapText="1"/>
    </xf>
    <xf numFmtId="0" fontId="15" fillId="2" borderId="65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28" fillId="2" borderId="20" xfId="0" applyFont="1" applyFill="1" applyBorder="1" applyAlignment="1">
      <alignment vertical="center" wrapText="1"/>
    </xf>
    <xf numFmtId="0" fontId="28" fillId="2" borderId="24" xfId="0" applyFont="1" applyFill="1" applyBorder="1" applyAlignment="1">
      <alignment vertical="center" wrapText="1"/>
    </xf>
    <xf numFmtId="0" fontId="28" fillId="2" borderId="54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top" wrapText="1"/>
    </xf>
    <xf numFmtId="0" fontId="27" fillId="2" borderId="62" xfId="0" applyFont="1" applyFill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vertical="top" wrapText="1"/>
    </xf>
    <xf numFmtId="0" fontId="18" fillId="2" borderId="32" xfId="0" applyFont="1" applyFill="1" applyBorder="1" applyAlignment="1">
      <alignment vertical="top" wrapText="1"/>
    </xf>
    <xf numFmtId="0" fontId="27" fillId="2" borderId="1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left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vertical="top" wrapText="1"/>
    </xf>
    <xf numFmtId="0" fontId="16" fillId="2" borderId="29" xfId="0" applyFont="1" applyFill="1" applyBorder="1" applyAlignment="1">
      <alignment vertical="top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top" wrapText="1"/>
    </xf>
    <xf numFmtId="0" fontId="2" fillId="2" borderId="32" xfId="0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24" fillId="2" borderId="40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top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 wrapText="1"/>
    </xf>
    <xf numFmtId="0" fontId="24" fillId="2" borderId="43" xfId="0" applyFont="1" applyFill="1" applyBorder="1" applyAlignment="1">
      <alignment horizontal="center" vertical="top" wrapText="1"/>
    </xf>
    <xf numFmtId="0" fontId="24" fillId="2" borderId="46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top" wrapText="1"/>
    </xf>
    <xf numFmtId="0" fontId="9" fillId="2" borderId="50" xfId="0" applyFont="1" applyFill="1" applyBorder="1" applyAlignment="1">
      <alignment horizontal="center" vertical="top" wrapText="1"/>
    </xf>
    <xf numFmtId="0" fontId="8" fillId="2" borderId="64" xfId="0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horizontal="center" vertical="top" wrapText="1"/>
    </xf>
    <xf numFmtId="0" fontId="22" fillId="2" borderId="0" xfId="0" applyFont="1" applyFill="1" applyBorder="1" applyAlignment="1"/>
    <xf numFmtId="0" fontId="40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2"/>
  <sheetViews>
    <sheetView tabSelected="1" view="pageBreakPreview" zoomScaleNormal="100" zoomScaleSheetLayoutView="100" workbookViewId="0">
      <pane xSplit="13" ySplit="16" topLeftCell="N17" activePane="bottomRight" state="frozen"/>
      <selection pane="topRight" activeCell="N1" sqref="N1"/>
      <selection pane="bottomLeft" activeCell="A12" sqref="A12"/>
      <selection pane="bottomRight" activeCell="L3" sqref="L3:U3"/>
    </sheetView>
  </sheetViews>
  <sheetFormatPr defaultRowHeight="13.5" outlineLevelRow="3" x14ac:dyDescent="0.2"/>
  <cols>
    <col min="1" max="1" width="5.28515625" style="1" customWidth="1"/>
    <col min="2" max="2" width="22.7109375" style="1" customWidth="1"/>
    <col min="3" max="3" width="57" style="2" customWidth="1"/>
    <col min="4" max="4" width="9.140625" style="1" customWidth="1"/>
    <col min="5" max="5" width="20.28515625" style="1" customWidth="1"/>
    <col min="6" max="6" width="22.855468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4.5703125" style="1" customWidth="1"/>
    <col min="15" max="15" width="14.42578125" style="1" customWidth="1"/>
    <col min="16" max="16" width="14.7109375" style="1" customWidth="1"/>
    <col min="17" max="17" width="12.85546875" style="1" customWidth="1"/>
    <col min="18" max="18" width="12.5703125" style="1" customWidth="1"/>
    <col min="19" max="19" width="12.7109375" style="1" customWidth="1"/>
    <col min="20" max="20" width="13.28515625" style="1" customWidth="1"/>
    <col min="21" max="21" width="14.7109375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/>
      <c r="S1" s="87" t="s">
        <v>309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387"/>
      <c r="L2" s="387"/>
      <c r="M2" s="387"/>
      <c r="N2" s="387"/>
      <c r="O2" s="387"/>
      <c r="P2" s="387"/>
      <c r="Q2" s="387"/>
      <c r="R2" s="87"/>
      <c r="S2" s="87" t="s">
        <v>300</v>
      </c>
      <c r="T2" s="387"/>
      <c r="U2" s="387"/>
    </row>
    <row r="3" spans="1:21" ht="21" customHeight="1" x14ac:dyDescent="0.35">
      <c r="A3" s="3"/>
      <c r="B3" s="3"/>
      <c r="C3" s="4"/>
      <c r="D3" s="3"/>
      <c r="E3" s="3"/>
      <c r="F3" s="3"/>
      <c r="G3" s="3"/>
      <c r="H3" s="3"/>
      <c r="I3" s="3"/>
      <c r="J3" s="387"/>
      <c r="K3" s="387"/>
      <c r="L3" s="523" t="s">
        <v>311</v>
      </c>
      <c r="M3" s="524"/>
      <c r="N3" s="524"/>
      <c r="O3" s="524"/>
      <c r="P3" s="524"/>
      <c r="Q3" s="524"/>
      <c r="R3" s="524"/>
      <c r="S3" s="524"/>
      <c r="T3" s="524"/>
      <c r="U3" s="524"/>
    </row>
    <row r="4" spans="1:21" ht="15.75" hidden="1" customHeight="1" x14ac:dyDescent="0.3">
      <c r="A4" s="3"/>
      <c r="B4" s="3"/>
      <c r="C4" s="4"/>
      <c r="D4" s="3"/>
      <c r="E4" s="3"/>
      <c r="F4" s="3"/>
      <c r="G4" s="3"/>
      <c r="H4" s="3"/>
      <c r="I4" s="3"/>
      <c r="J4" s="387"/>
      <c r="K4" s="387"/>
      <c r="L4" s="387"/>
      <c r="M4" s="388"/>
      <c r="N4" s="388"/>
      <c r="O4" s="388"/>
      <c r="P4" s="388"/>
      <c r="Q4" s="388"/>
      <c r="R4" s="388"/>
      <c r="S4" s="388"/>
      <c r="T4" s="388"/>
      <c r="U4" s="388"/>
    </row>
    <row r="5" spans="1:21" ht="6" customHeight="1" x14ac:dyDescent="0.3">
      <c r="A5" s="3"/>
      <c r="B5" s="3"/>
      <c r="C5" s="4"/>
      <c r="D5" s="3"/>
      <c r="E5" s="3"/>
      <c r="F5" s="3"/>
      <c r="G5" s="3"/>
      <c r="H5" s="3"/>
      <c r="I5" s="3"/>
      <c r="J5" s="387"/>
      <c r="K5" s="387"/>
      <c r="L5" s="387"/>
      <c r="M5" s="388"/>
      <c r="N5" s="388"/>
      <c r="O5" s="388"/>
      <c r="P5" s="388"/>
      <c r="Q5" s="388"/>
      <c r="R5" s="388"/>
      <c r="S5" s="388"/>
      <c r="T5" s="388"/>
      <c r="U5" s="388"/>
    </row>
    <row r="6" spans="1:21" ht="24" customHeight="1" x14ac:dyDescent="0.4">
      <c r="A6" s="418" t="s">
        <v>297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</row>
    <row r="7" spans="1:21" ht="24" customHeight="1" x14ac:dyDescent="0.4">
      <c r="A7" s="418" t="s">
        <v>298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</row>
    <row r="8" spans="1:21" ht="6.75" customHeight="1" x14ac:dyDescent="0.3">
      <c r="A8" s="3"/>
      <c r="B8" s="3"/>
      <c r="C8" s="4"/>
      <c r="D8" s="3"/>
      <c r="E8" s="3"/>
      <c r="F8" s="3"/>
      <c r="G8" s="3"/>
      <c r="H8" s="3"/>
      <c r="I8" s="3"/>
      <c r="J8" s="387"/>
      <c r="K8" s="387"/>
      <c r="L8" s="387"/>
      <c r="M8" s="388"/>
      <c r="N8" s="388"/>
      <c r="O8" s="388"/>
      <c r="P8" s="388"/>
      <c r="Q8" s="388"/>
      <c r="R8" s="388"/>
      <c r="S8" s="388"/>
      <c r="T8" s="388"/>
      <c r="U8" s="388"/>
    </row>
    <row r="9" spans="1:21" ht="9" customHeight="1" x14ac:dyDescent="0.3">
      <c r="A9" s="3"/>
      <c r="B9" s="3"/>
      <c r="C9" s="4"/>
      <c r="D9" s="3"/>
      <c r="E9" s="3"/>
      <c r="F9" s="3"/>
      <c r="G9" s="3"/>
      <c r="H9" s="3"/>
      <c r="I9" s="3"/>
      <c r="J9" s="389"/>
      <c r="K9" s="389"/>
      <c r="L9" s="389"/>
      <c r="M9" s="419"/>
      <c r="N9" s="419"/>
      <c r="O9" s="420"/>
      <c r="P9" s="420"/>
      <c r="Q9" s="420"/>
      <c r="R9" s="420"/>
      <c r="S9" s="420"/>
      <c r="T9" s="420"/>
      <c r="U9" s="420"/>
    </row>
    <row r="10" spans="1:21" ht="24" customHeight="1" x14ac:dyDescent="0.4">
      <c r="A10" s="418" t="s">
        <v>0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</row>
    <row r="12" spans="1:21" s="246" customFormat="1" ht="24.75" customHeight="1" x14ac:dyDescent="0.25">
      <c r="A12" s="434" t="s">
        <v>1</v>
      </c>
      <c r="B12" s="429" t="s">
        <v>2</v>
      </c>
      <c r="C12" s="440" t="s">
        <v>3</v>
      </c>
      <c r="D12" s="429" t="s">
        <v>4</v>
      </c>
      <c r="E12" s="429" t="s">
        <v>5</v>
      </c>
      <c r="F12" s="429" t="s">
        <v>218</v>
      </c>
      <c r="G12" s="429" t="s">
        <v>6</v>
      </c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32"/>
    </row>
    <row r="13" spans="1:21" s="246" customFormat="1" ht="14.25" customHeight="1" x14ac:dyDescent="0.25">
      <c r="A13" s="435"/>
      <c r="B13" s="430"/>
      <c r="C13" s="441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3"/>
    </row>
    <row r="14" spans="1:21" s="246" customFormat="1" ht="11.25" customHeight="1" x14ac:dyDescent="0.25">
      <c r="A14" s="435"/>
      <c r="B14" s="430"/>
      <c r="C14" s="441"/>
      <c r="D14" s="430"/>
      <c r="E14" s="430"/>
      <c r="F14" s="430"/>
      <c r="G14" s="427">
        <v>2016</v>
      </c>
      <c r="H14" s="427">
        <v>2017</v>
      </c>
      <c r="I14" s="427">
        <v>2018</v>
      </c>
      <c r="J14" s="427">
        <v>2019</v>
      </c>
      <c r="K14" s="427">
        <v>2020</v>
      </c>
      <c r="L14" s="427">
        <v>2021</v>
      </c>
      <c r="M14" s="427">
        <v>2022</v>
      </c>
      <c r="N14" s="427" t="s">
        <v>209</v>
      </c>
      <c r="O14" s="427">
        <v>2023</v>
      </c>
      <c r="P14" s="427">
        <v>2024</v>
      </c>
      <c r="Q14" s="427">
        <v>2025</v>
      </c>
      <c r="R14" s="427">
        <v>2026</v>
      </c>
      <c r="S14" s="427">
        <v>2027</v>
      </c>
      <c r="T14" s="427">
        <v>2028</v>
      </c>
      <c r="U14" s="436" t="s">
        <v>7</v>
      </c>
    </row>
    <row r="15" spans="1:21" s="246" customFormat="1" ht="18.75" customHeight="1" x14ac:dyDescent="0.25">
      <c r="A15" s="435"/>
      <c r="B15" s="431"/>
      <c r="C15" s="441"/>
      <c r="D15" s="431"/>
      <c r="E15" s="431"/>
      <c r="F15" s="431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8"/>
      <c r="T15" s="428"/>
      <c r="U15" s="437"/>
    </row>
    <row r="16" spans="1:21" ht="21" customHeight="1" x14ac:dyDescent="0.2">
      <c r="A16" s="130">
        <v>1</v>
      </c>
      <c r="B16" s="201">
        <v>2</v>
      </c>
      <c r="C16" s="201">
        <v>3</v>
      </c>
      <c r="D16" s="201">
        <v>4</v>
      </c>
      <c r="E16" s="201">
        <v>5</v>
      </c>
      <c r="F16" s="201">
        <v>6</v>
      </c>
      <c r="G16" s="201"/>
      <c r="H16" s="201"/>
      <c r="I16" s="201"/>
      <c r="J16" s="201"/>
      <c r="K16" s="201"/>
      <c r="L16" s="201"/>
      <c r="M16" s="201"/>
      <c r="N16" s="201">
        <v>7</v>
      </c>
      <c r="O16" s="201">
        <v>8</v>
      </c>
      <c r="P16" s="201">
        <v>9</v>
      </c>
      <c r="Q16" s="201">
        <v>10</v>
      </c>
      <c r="R16" s="201">
        <v>11</v>
      </c>
      <c r="S16" s="201">
        <v>12</v>
      </c>
      <c r="T16" s="201">
        <v>13</v>
      </c>
      <c r="U16" s="202">
        <v>14</v>
      </c>
    </row>
    <row r="17" spans="1:21" s="7" customFormat="1" ht="57" hidden="1" customHeight="1" outlineLevel="1" x14ac:dyDescent="0.2">
      <c r="A17" s="425">
        <v>1</v>
      </c>
      <c r="B17" s="219" t="s">
        <v>8</v>
      </c>
      <c r="C17" s="197" t="s">
        <v>9</v>
      </c>
      <c r="D17" s="93" t="s">
        <v>10</v>
      </c>
      <c r="E17" s="425" t="s">
        <v>271</v>
      </c>
      <c r="F17" s="108" t="s">
        <v>11</v>
      </c>
      <c r="G17" s="22">
        <v>73702.679999999993</v>
      </c>
      <c r="H17" s="22">
        <f>94537.8+830</f>
        <v>95367.8</v>
      </c>
      <c r="I17" s="22">
        <v>114042.5</v>
      </c>
      <c r="J17" s="22">
        <v>143546.20000000001</v>
      </c>
      <c r="K17" s="22">
        <v>227890.4</v>
      </c>
      <c r="L17" s="22">
        <f>59251.7+11539-1500+103.7+3900</f>
        <v>73294.399999999994</v>
      </c>
      <c r="M17" s="22">
        <v>0</v>
      </c>
      <c r="N17" s="22">
        <f>G17+H17+I17+J17+K17+L17+M17</f>
        <v>727843.98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f>SUM(G17:T17)-N17</f>
        <v>727843.98</v>
      </c>
    </row>
    <row r="18" spans="1:21" s="7" customFormat="1" ht="110.25" hidden="1" customHeight="1" outlineLevel="1" x14ac:dyDescent="0.2">
      <c r="A18" s="426"/>
      <c r="B18" s="390"/>
      <c r="C18" s="198" t="s">
        <v>262</v>
      </c>
      <c r="D18" s="95" t="s">
        <v>258</v>
      </c>
      <c r="E18" s="426"/>
      <c r="F18" s="34" t="s">
        <v>11</v>
      </c>
      <c r="G18" s="6">
        <v>9960</v>
      </c>
      <c r="H18" s="6">
        <v>9960</v>
      </c>
      <c r="I18" s="6">
        <v>400</v>
      </c>
      <c r="J18" s="6">
        <v>2102.1999999999998</v>
      </c>
      <c r="K18" s="6">
        <v>20800</v>
      </c>
      <c r="L18" s="6">
        <v>0</v>
      </c>
      <c r="M18" s="6">
        <v>0</v>
      </c>
      <c r="N18" s="6">
        <f t="shared" ref="N18:N81" si="0">G18+H18+I18+J18+K18+L18+M18</f>
        <v>43222.2</v>
      </c>
      <c r="O18" s="6">
        <f>0+5200</f>
        <v>5200</v>
      </c>
      <c r="P18" s="6">
        <v>5600</v>
      </c>
      <c r="Q18" s="6">
        <f>7000-7000</f>
        <v>0</v>
      </c>
      <c r="R18" s="6">
        <f>8000-8000</f>
        <v>0</v>
      </c>
      <c r="S18" s="6">
        <f>9000-9000</f>
        <v>0</v>
      </c>
      <c r="T18" s="6">
        <f>10000-10000</f>
        <v>0</v>
      </c>
      <c r="U18" s="6">
        <f t="shared" ref="U18:U81" si="1">SUM(G18:T18)-N18</f>
        <v>54022.2</v>
      </c>
    </row>
    <row r="19" spans="1:21" s="7" customFormat="1" ht="48.75" hidden="1" customHeight="1" outlineLevel="1" x14ac:dyDescent="0.2">
      <c r="A19" s="8"/>
      <c r="B19" s="390"/>
      <c r="C19" s="198" t="s">
        <v>12</v>
      </c>
      <c r="D19" s="95" t="s">
        <v>258</v>
      </c>
      <c r="E19" s="426"/>
      <c r="F19" s="24" t="s">
        <v>11</v>
      </c>
      <c r="G19" s="6">
        <v>17132.7</v>
      </c>
      <c r="H19" s="9">
        <v>15000</v>
      </c>
      <c r="I19" s="9">
        <v>8150</v>
      </c>
      <c r="J19" s="9">
        <v>7800</v>
      </c>
      <c r="K19" s="9">
        <v>13000</v>
      </c>
      <c r="L19" s="9">
        <v>12500</v>
      </c>
      <c r="M19" s="9">
        <v>13750</v>
      </c>
      <c r="N19" s="6">
        <f t="shared" si="0"/>
        <v>87332.7</v>
      </c>
      <c r="O19" s="9">
        <f>15125-5200</f>
        <v>9925</v>
      </c>
      <c r="P19" s="9">
        <v>0</v>
      </c>
      <c r="Q19" s="9">
        <f>20000-20000</f>
        <v>0</v>
      </c>
      <c r="R19" s="9">
        <f>22000-22000</f>
        <v>0</v>
      </c>
      <c r="S19" s="9">
        <f>18000-18000</f>
        <v>0</v>
      </c>
      <c r="T19" s="9">
        <f>20000-20000</f>
        <v>0</v>
      </c>
      <c r="U19" s="6">
        <f t="shared" si="1"/>
        <v>97257.7</v>
      </c>
    </row>
    <row r="20" spans="1:21" s="7" customFormat="1" ht="46.5" hidden="1" customHeight="1" outlineLevel="1" x14ac:dyDescent="0.2">
      <c r="A20" s="8"/>
      <c r="B20" s="390"/>
      <c r="C20" s="198" t="s">
        <v>13</v>
      </c>
      <c r="D20" s="95" t="s">
        <v>14</v>
      </c>
      <c r="E20" s="426"/>
      <c r="F20" s="24" t="s">
        <v>11</v>
      </c>
      <c r="G20" s="6">
        <v>100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100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100</v>
      </c>
    </row>
    <row r="21" spans="1:21" s="7" customFormat="1" ht="46.5" hidden="1" customHeight="1" outlineLevel="1" x14ac:dyDescent="0.2">
      <c r="A21" s="8"/>
      <c r="B21" s="390"/>
      <c r="C21" s="198" t="s">
        <v>15</v>
      </c>
      <c r="D21" s="95" t="s">
        <v>14</v>
      </c>
      <c r="E21" s="426"/>
      <c r="F21" s="24" t="s">
        <v>11</v>
      </c>
      <c r="G21" s="6">
        <v>290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290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290</v>
      </c>
    </row>
    <row r="22" spans="1:21" s="7" customFormat="1" ht="42.75" hidden="1" customHeight="1" outlineLevel="1" x14ac:dyDescent="0.2">
      <c r="A22" s="8"/>
      <c r="B22" s="390"/>
      <c r="C22" s="198" t="s">
        <v>16</v>
      </c>
      <c r="D22" s="95" t="s">
        <v>14</v>
      </c>
      <c r="E22" s="426"/>
      <c r="F22" s="24" t="s">
        <v>11</v>
      </c>
      <c r="G22" s="6">
        <v>60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60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60</v>
      </c>
    </row>
    <row r="23" spans="1:21" s="7" customFormat="1" ht="44.25" hidden="1" customHeight="1" outlineLevel="1" x14ac:dyDescent="0.2">
      <c r="A23" s="8"/>
      <c r="B23" s="390"/>
      <c r="C23" s="198" t="s">
        <v>17</v>
      </c>
      <c r="D23" s="95" t="s">
        <v>14</v>
      </c>
      <c r="E23" s="426"/>
      <c r="F23" s="24" t="s">
        <v>11</v>
      </c>
      <c r="G23" s="6">
        <v>100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100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100</v>
      </c>
    </row>
    <row r="24" spans="1:21" s="7" customFormat="1" ht="42" hidden="1" customHeight="1" outlineLevel="1" collapsed="1" x14ac:dyDescent="0.2">
      <c r="A24" s="8"/>
      <c r="B24" s="390"/>
      <c r="C24" s="198" t="s">
        <v>18</v>
      </c>
      <c r="D24" s="95" t="s">
        <v>25</v>
      </c>
      <c r="E24" s="426"/>
      <c r="F24" s="24" t="s">
        <v>11</v>
      </c>
      <c r="G24" s="9">
        <v>0</v>
      </c>
      <c r="H24" s="9">
        <v>3500</v>
      </c>
      <c r="I24" s="9">
        <v>1200</v>
      </c>
      <c r="J24" s="9">
        <v>20000</v>
      </c>
      <c r="K24" s="9">
        <v>12050</v>
      </c>
      <c r="L24" s="9">
        <v>15500</v>
      </c>
      <c r="M24" s="9">
        <v>3850</v>
      </c>
      <c r="N24" s="6">
        <f t="shared" si="0"/>
        <v>56100</v>
      </c>
      <c r="O24" s="9">
        <v>4235</v>
      </c>
      <c r="P24" s="9">
        <v>0</v>
      </c>
      <c r="Q24" s="9">
        <f>3500-3500</f>
        <v>0</v>
      </c>
      <c r="R24" s="9">
        <f>4000-4000</f>
        <v>0</v>
      </c>
      <c r="S24" s="9">
        <f>4500-4500</f>
        <v>0</v>
      </c>
      <c r="T24" s="9">
        <f>5000-5000</f>
        <v>0</v>
      </c>
      <c r="U24" s="6">
        <f t="shared" si="1"/>
        <v>60335</v>
      </c>
    </row>
    <row r="25" spans="1:21" s="7" customFormat="1" ht="46.5" hidden="1" customHeight="1" outlineLevel="1" x14ac:dyDescent="0.2">
      <c r="A25" s="10"/>
      <c r="B25" s="11"/>
      <c r="C25" s="198" t="s">
        <v>19</v>
      </c>
      <c r="D25" s="96" t="s">
        <v>14</v>
      </c>
      <c r="E25" s="10"/>
      <c r="F25" s="24" t="s">
        <v>11</v>
      </c>
      <c r="G25" s="9">
        <v>0</v>
      </c>
      <c r="H25" s="9">
        <v>200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6">
        <f t="shared" si="0"/>
        <v>200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6">
        <f t="shared" si="1"/>
        <v>200</v>
      </c>
    </row>
    <row r="26" spans="1:21" s="7" customFormat="1" ht="43.5" hidden="1" customHeight="1" outlineLevel="1" x14ac:dyDescent="0.2">
      <c r="A26" s="8"/>
      <c r="B26" s="10"/>
      <c r="C26" s="198" t="s">
        <v>20</v>
      </c>
      <c r="D26" s="95" t="s">
        <v>14</v>
      </c>
      <c r="E26" s="10"/>
      <c r="F26" s="24" t="s">
        <v>11</v>
      </c>
      <c r="G26" s="9">
        <v>0</v>
      </c>
      <c r="H26" s="6">
        <v>60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6">
        <f t="shared" si="0"/>
        <v>60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6">
        <f t="shared" si="1"/>
        <v>60</v>
      </c>
    </row>
    <row r="27" spans="1:21" s="7" customFormat="1" ht="54.75" hidden="1" customHeight="1" outlineLevel="1" x14ac:dyDescent="0.2">
      <c r="A27" s="8"/>
      <c r="B27" s="10"/>
      <c r="C27" s="199" t="s">
        <v>21</v>
      </c>
      <c r="D27" s="96" t="s">
        <v>14</v>
      </c>
      <c r="E27" s="10"/>
      <c r="F27" s="24" t="s">
        <v>11</v>
      </c>
      <c r="G27" s="9">
        <v>0</v>
      </c>
      <c r="H27" s="6">
        <v>150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6">
        <f t="shared" si="0"/>
        <v>150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6">
        <f t="shared" si="1"/>
        <v>150</v>
      </c>
    </row>
    <row r="28" spans="1:21" s="7" customFormat="1" ht="44.25" hidden="1" customHeight="1" outlineLevel="1" x14ac:dyDescent="0.2">
      <c r="A28" s="8"/>
      <c r="B28" s="10"/>
      <c r="C28" s="197" t="s">
        <v>22</v>
      </c>
      <c r="D28" s="93" t="s">
        <v>14</v>
      </c>
      <c r="E28" s="10"/>
      <c r="F28" s="24" t="s">
        <v>11</v>
      </c>
      <c r="G28" s="9">
        <v>0</v>
      </c>
      <c r="H28" s="6">
        <v>150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6">
        <f t="shared" si="0"/>
        <v>150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6">
        <f t="shared" si="1"/>
        <v>150</v>
      </c>
    </row>
    <row r="29" spans="1:21" s="7" customFormat="1" ht="47.25" hidden="1" customHeight="1" outlineLevel="1" collapsed="1" x14ac:dyDescent="0.2">
      <c r="A29" s="8"/>
      <c r="B29" s="11"/>
      <c r="C29" s="198" t="s">
        <v>23</v>
      </c>
      <c r="D29" s="95" t="s">
        <v>209</v>
      </c>
      <c r="E29" s="10"/>
      <c r="F29" s="24" t="s">
        <v>11</v>
      </c>
      <c r="G29" s="9">
        <v>0</v>
      </c>
      <c r="H29" s="6">
        <v>5500</v>
      </c>
      <c r="I29" s="6">
        <v>42900</v>
      </c>
      <c r="J29" s="6">
        <v>11871.2</v>
      </c>
      <c r="K29" s="6">
        <v>11940.3</v>
      </c>
      <c r="L29" s="6">
        <v>6000</v>
      </c>
      <c r="M29" s="6">
        <v>0</v>
      </c>
      <c r="N29" s="6">
        <f t="shared" si="0"/>
        <v>78211.5</v>
      </c>
      <c r="O29" s="6">
        <v>0</v>
      </c>
      <c r="P29" s="6">
        <v>0</v>
      </c>
      <c r="Q29" s="6">
        <f>5000-5000</f>
        <v>0</v>
      </c>
      <c r="R29" s="6">
        <f>5000-5000</f>
        <v>0</v>
      </c>
      <c r="S29" s="6">
        <v>0</v>
      </c>
      <c r="T29" s="6">
        <v>0</v>
      </c>
      <c r="U29" s="6">
        <f t="shared" si="1"/>
        <v>78211.5</v>
      </c>
    </row>
    <row r="30" spans="1:21" s="7" customFormat="1" ht="49.5" hidden="1" customHeight="1" outlineLevel="1" x14ac:dyDescent="0.2">
      <c r="A30" s="75"/>
      <c r="B30" s="13"/>
      <c r="C30" s="198" t="s">
        <v>24</v>
      </c>
      <c r="D30" s="95" t="s">
        <v>25</v>
      </c>
      <c r="E30" s="18"/>
      <c r="F30" s="24" t="s">
        <v>11</v>
      </c>
      <c r="G30" s="6">
        <v>2000</v>
      </c>
      <c r="H30" s="6">
        <v>2000</v>
      </c>
      <c r="I30" s="6">
        <v>3250</v>
      </c>
      <c r="J30" s="6">
        <v>4600</v>
      </c>
      <c r="K30" s="6">
        <v>4000</v>
      </c>
      <c r="L30" s="6">
        <f>0+397.7</f>
        <v>397.7</v>
      </c>
      <c r="M30" s="6">
        <v>0</v>
      </c>
      <c r="N30" s="6">
        <f t="shared" si="0"/>
        <v>16247.7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f t="shared" si="1"/>
        <v>16247.7</v>
      </c>
    </row>
    <row r="31" spans="1:21" s="7" customFormat="1" ht="47.25" hidden="1" customHeight="1" outlineLevel="1" x14ac:dyDescent="0.2">
      <c r="A31" s="8"/>
      <c r="B31" s="11"/>
      <c r="C31" s="198" t="s">
        <v>26</v>
      </c>
      <c r="D31" s="95" t="s">
        <v>25</v>
      </c>
      <c r="E31" s="10"/>
      <c r="F31" s="24" t="s">
        <v>11</v>
      </c>
      <c r="G31" s="9">
        <v>100</v>
      </c>
      <c r="H31" s="6">
        <v>2000</v>
      </c>
      <c r="I31" s="6">
        <v>3100</v>
      </c>
      <c r="J31" s="6">
        <v>12000</v>
      </c>
      <c r="K31" s="6">
        <v>14573.5</v>
      </c>
      <c r="L31" s="6">
        <f>1017.3</f>
        <v>1017.3</v>
      </c>
      <c r="M31" s="6">
        <v>0</v>
      </c>
      <c r="N31" s="6">
        <f t="shared" si="0"/>
        <v>32790.800000000003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f t="shared" si="1"/>
        <v>32790.800000000003</v>
      </c>
    </row>
    <row r="32" spans="1:21" s="7" customFormat="1" ht="45" hidden="1" customHeight="1" outlineLevel="1" x14ac:dyDescent="0.2">
      <c r="A32" s="8"/>
      <c r="B32" s="11"/>
      <c r="C32" s="198" t="s">
        <v>27</v>
      </c>
      <c r="D32" s="95" t="s">
        <v>25</v>
      </c>
      <c r="E32" s="10"/>
      <c r="F32" s="24" t="s">
        <v>11</v>
      </c>
      <c r="G32" s="6">
        <v>1500</v>
      </c>
      <c r="H32" s="6">
        <v>1680</v>
      </c>
      <c r="I32" s="6">
        <v>1800</v>
      </c>
      <c r="J32" s="6">
        <v>3450</v>
      </c>
      <c r="K32" s="6">
        <v>3000</v>
      </c>
      <c r="L32" s="6">
        <f>0+1500+815.9</f>
        <v>2315.9</v>
      </c>
      <c r="M32" s="6">
        <v>0</v>
      </c>
      <c r="N32" s="6">
        <f t="shared" si="0"/>
        <v>13745.9</v>
      </c>
      <c r="O32" s="6">
        <f>2850.5</f>
        <v>2850.5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f t="shared" si="1"/>
        <v>16596.400000000001</v>
      </c>
    </row>
    <row r="33" spans="1:21" s="7" customFormat="1" ht="66.75" hidden="1" customHeight="1" outlineLevel="1" collapsed="1" x14ac:dyDescent="0.2">
      <c r="A33" s="8"/>
      <c r="B33" s="11"/>
      <c r="C33" s="198" t="s">
        <v>219</v>
      </c>
      <c r="D33" s="95" t="s">
        <v>209</v>
      </c>
      <c r="E33" s="10"/>
      <c r="F33" s="24" t="s">
        <v>11</v>
      </c>
      <c r="G33" s="9">
        <v>0</v>
      </c>
      <c r="H33" s="6">
        <f>5650</f>
        <v>5650</v>
      </c>
      <c r="I33" s="6">
        <v>6800</v>
      </c>
      <c r="J33" s="6">
        <v>8000</v>
      </c>
      <c r="K33" s="6">
        <v>9500</v>
      </c>
      <c r="L33" s="6">
        <v>3500</v>
      </c>
      <c r="M33" s="6">
        <v>3850</v>
      </c>
      <c r="N33" s="6">
        <f t="shared" si="0"/>
        <v>37300</v>
      </c>
      <c r="O33" s="6">
        <f>4235-4235</f>
        <v>0</v>
      </c>
      <c r="P33" s="6">
        <v>0</v>
      </c>
      <c r="Q33" s="6">
        <f>7300-7300</f>
        <v>0</v>
      </c>
      <c r="R33" s="6">
        <f>8000-8000</f>
        <v>0</v>
      </c>
      <c r="S33" s="6">
        <f>8800-8800</f>
        <v>0</v>
      </c>
      <c r="T33" s="6">
        <f>10000-10000</f>
        <v>0</v>
      </c>
      <c r="U33" s="6">
        <f t="shared" si="1"/>
        <v>37300</v>
      </c>
    </row>
    <row r="34" spans="1:21" s="7" customFormat="1" ht="72" hidden="1" customHeight="1" outlineLevel="1" x14ac:dyDescent="0.2">
      <c r="A34" s="10"/>
      <c r="B34" s="11"/>
      <c r="C34" s="198" t="s">
        <v>210</v>
      </c>
      <c r="D34" s="96" t="s">
        <v>25</v>
      </c>
      <c r="E34" s="10"/>
      <c r="F34" s="24" t="s">
        <v>11</v>
      </c>
      <c r="G34" s="9">
        <v>0</v>
      </c>
      <c r="H34" s="6">
        <v>9116.2999999999993</v>
      </c>
      <c r="I34" s="9">
        <v>0</v>
      </c>
      <c r="J34" s="9">
        <v>200</v>
      </c>
      <c r="K34" s="9">
        <v>14000</v>
      </c>
      <c r="L34" s="9">
        <v>9713.6</v>
      </c>
      <c r="M34" s="9">
        <v>0</v>
      </c>
      <c r="N34" s="6">
        <f t="shared" si="0"/>
        <v>33029.9</v>
      </c>
      <c r="O34" s="9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f t="shared" si="1"/>
        <v>33029.9</v>
      </c>
    </row>
    <row r="35" spans="1:21" s="7" customFormat="1" ht="66" hidden="1" customHeight="1" outlineLevel="1" collapsed="1" x14ac:dyDescent="0.2">
      <c r="A35" s="10"/>
      <c r="B35" s="12"/>
      <c r="C35" s="198" t="s">
        <v>266</v>
      </c>
      <c r="D35" s="95" t="s">
        <v>209</v>
      </c>
      <c r="E35" s="10"/>
      <c r="F35" s="24" t="s">
        <v>11</v>
      </c>
      <c r="G35" s="9">
        <v>0</v>
      </c>
      <c r="H35" s="9">
        <v>0</v>
      </c>
      <c r="I35" s="6">
        <v>10000</v>
      </c>
      <c r="J35" s="9">
        <v>0</v>
      </c>
      <c r="K35" s="9">
        <v>0</v>
      </c>
      <c r="L35" s="9">
        <v>16000</v>
      </c>
      <c r="M35" s="9">
        <v>0</v>
      </c>
      <c r="N35" s="6">
        <f t="shared" si="0"/>
        <v>26000</v>
      </c>
      <c r="O35" s="9">
        <v>0</v>
      </c>
      <c r="P35" s="9">
        <v>0</v>
      </c>
      <c r="Q35" s="9">
        <f>40000-40000</f>
        <v>0</v>
      </c>
      <c r="R35" s="9">
        <v>0</v>
      </c>
      <c r="S35" s="9">
        <v>0</v>
      </c>
      <c r="T35" s="9">
        <v>0</v>
      </c>
      <c r="U35" s="6">
        <f t="shared" si="1"/>
        <v>26000</v>
      </c>
    </row>
    <row r="36" spans="1:21" s="7" customFormat="1" ht="71.25" hidden="1" customHeight="1" outlineLevel="1" x14ac:dyDescent="0.2">
      <c r="A36" s="10"/>
      <c r="B36" s="12"/>
      <c r="C36" s="198" t="s">
        <v>28</v>
      </c>
      <c r="D36" s="95" t="s">
        <v>25</v>
      </c>
      <c r="E36" s="10"/>
      <c r="F36" s="24" t="s">
        <v>11</v>
      </c>
      <c r="G36" s="9">
        <v>0</v>
      </c>
      <c r="H36" s="9">
        <v>0</v>
      </c>
      <c r="I36" s="9">
        <v>0</v>
      </c>
      <c r="J36" s="9">
        <v>2425</v>
      </c>
      <c r="K36" s="9">
        <v>1275</v>
      </c>
      <c r="L36" s="9">
        <v>286.39999999999998</v>
      </c>
      <c r="M36" s="9">
        <v>0</v>
      </c>
      <c r="N36" s="6">
        <f t="shared" si="0"/>
        <v>3986.4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3986.4</v>
      </c>
    </row>
    <row r="37" spans="1:21" s="7" customFormat="1" ht="69" hidden="1" customHeight="1" outlineLevel="1" collapsed="1" x14ac:dyDescent="0.2">
      <c r="A37" s="8"/>
      <c r="B37" s="11"/>
      <c r="C37" s="199" t="s">
        <v>272</v>
      </c>
      <c r="D37" s="96" t="s">
        <v>209</v>
      </c>
      <c r="E37" s="10"/>
      <c r="F37" s="24" t="s">
        <v>11</v>
      </c>
      <c r="G37" s="9">
        <v>0</v>
      </c>
      <c r="H37" s="9">
        <v>0</v>
      </c>
      <c r="I37" s="6">
        <v>10000</v>
      </c>
      <c r="J37" s="9">
        <v>0</v>
      </c>
      <c r="K37" s="9">
        <v>0</v>
      </c>
      <c r="L37" s="9">
        <v>0</v>
      </c>
      <c r="M37" s="9">
        <f>16000-16000</f>
        <v>0</v>
      </c>
      <c r="N37" s="6">
        <f t="shared" si="0"/>
        <v>10000</v>
      </c>
      <c r="O37" s="9">
        <v>0</v>
      </c>
      <c r="P37" s="9">
        <v>0</v>
      </c>
      <c r="Q37" s="9">
        <v>0</v>
      </c>
      <c r="R37" s="9">
        <f>50000-50000</f>
        <v>0</v>
      </c>
      <c r="S37" s="9">
        <v>0</v>
      </c>
      <c r="T37" s="9">
        <v>0</v>
      </c>
      <c r="U37" s="6">
        <f t="shared" si="1"/>
        <v>10000</v>
      </c>
    </row>
    <row r="38" spans="1:21" s="7" customFormat="1" ht="68.25" hidden="1" customHeight="1" outlineLevel="1" x14ac:dyDescent="0.2">
      <c r="A38" s="8"/>
      <c r="B38" s="11"/>
      <c r="C38" s="151" t="s">
        <v>267</v>
      </c>
      <c r="D38" s="93" t="s">
        <v>209</v>
      </c>
      <c r="E38" s="10"/>
      <c r="F38" s="24" t="s">
        <v>11</v>
      </c>
      <c r="G38" s="9">
        <v>0</v>
      </c>
      <c r="H38" s="9">
        <v>0</v>
      </c>
      <c r="I38" s="9">
        <v>0</v>
      </c>
      <c r="J38" s="6">
        <v>8000</v>
      </c>
      <c r="K38" s="9">
        <v>0</v>
      </c>
      <c r="L38" s="9">
        <v>0</v>
      </c>
      <c r="M38" s="9">
        <v>4000</v>
      </c>
      <c r="N38" s="6">
        <f t="shared" si="0"/>
        <v>12000</v>
      </c>
      <c r="O38" s="9">
        <f>18000-18000</f>
        <v>0</v>
      </c>
      <c r="P38" s="9">
        <v>0</v>
      </c>
      <c r="Q38" s="9">
        <v>0</v>
      </c>
      <c r="R38" s="9">
        <v>0</v>
      </c>
      <c r="S38" s="9">
        <v>0</v>
      </c>
      <c r="T38" s="9">
        <f>80000-80000</f>
        <v>0</v>
      </c>
      <c r="U38" s="6">
        <f t="shared" si="1"/>
        <v>12000</v>
      </c>
    </row>
    <row r="39" spans="1:21" s="7" customFormat="1" ht="83.25" hidden="1" customHeight="1" outlineLevel="1" x14ac:dyDescent="0.2">
      <c r="A39" s="10"/>
      <c r="B39" s="11"/>
      <c r="C39" s="111" t="s">
        <v>29</v>
      </c>
      <c r="D39" s="96" t="s">
        <v>25</v>
      </c>
      <c r="E39" s="10"/>
      <c r="F39" s="24" t="s">
        <v>11</v>
      </c>
      <c r="G39" s="9">
        <v>0</v>
      </c>
      <c r="H39" s="9">
        <v>0</v>
      </c>
      <c r="I39" s="9">
        <v>0</v>
      </c>
      <c r="J39" s="9">
        <v>0</v>
      </c>
      <c r="K39" s="6">
        <v>10000</v>
      </c>
      <c r="L39" s="6">
        <v>0</v>
      </c>
      <c r="M39" s="6">
        <v>0</v>
      </c>
      <c r="N39" s="6">
        <f t="shared" si="0"/>
        <v>10000</v>
      </c>
      <c r="O39" s="6">
        <v>16000</v>
      </c>
      <c r="P39" s="6">
        <v>0</v>
      </c>
      <c r="Q39" s="6">
        <v>0</v>
      </c>
      <c r="R39" s="6">
        <v>0</v>
      </c>
      <c r="S39" s="6">
        <f>60000-60000</f>
        <v>0</v>
      </c>
      <c r="T39" s="6">
        <v>0</v>
      </c>
      <c r="U39" s="6">
        <f t="shared" si="1"/>
        <v>26000</v>
      </c>
    </row>
    <row r="40" spans="1:21" s="7" customFormat="1" ht="69.75" hidden="1" customHeight="1" outlineLevel="1" x14ac:dyDescent="0.2">
      <c r="A40" s="70"/>
      <c r="B40" s="82"/>
      <c r="C40" s="109" t="s">
        <v>30</v>
      </c>
      <c r="D40" s="98" t="s">
        <v>209</v>
      </c>
      <c r="E40" s="18"/>
      <c r="F40" s="24" t="s">
        <v>11</v>
      </c>
      <c r="G40" s="9">
        <v>0</v>
      </c>
      <c r="H40" s="6">
        <f>5000-830</f>
        <v>4170</v>
      </c>
      <c r="I40" s="6">
        <v>2000</v>
      </c>
      <c r="J40" s="6">
        <v>2500</v>
      </c>
      <c r="K40" s="6">
        <v>0</v>
      </c>
      <c r="L40" s="6">
        <v>3500</v>
      </c>
      <c r="M40" s="6">
        <v>2000</v>
      </c>
      <c r="N40" s="6">
        <f t="shared" si="0"/>
        <v>14170</v>
      </c>
      <c r="O40" s="6">
        <f>2000-2000</f>
        <v>0</v>
      </c>
      <c r="P40" s="6">
        <v>0</v>
      </c>
      <c r="Q40" s="6">
        <v>0</v>
      </c>
      <c r="R40" s="6">
        <f>5000-5000</f>
        <v>0</v>
      </c>
      <c r="S40" s="6">
        <f>5000-5000</f>
        <v>0</v>
      </c>
      <c r="T40" s="6">
        <f>5000-5000</f>
        <v>0</v>
      </c>
      <c r="U40" s="6">
        <f t="shared" si="1"/>
        <v>14170</v>
      </c>
    </row>
    <row r="41" spans="1:21" s="7" customFormat="1" ht="41.25" hidden="1" customHeight="1" outlineLevel="1" x14ac:dyDescent="0.2">
      <c r="A41" s="391"/>
      <c r="B41" s="26"/>
      <c r="C41" s="112" t="s">
        <v>31</v>
      </c>
      <c r="D41" s="15" t="s">
        <v>25</v>
      </c>
      <c r="E41" s="8"/>
      <c r="F41" s="24" t="s">
        <v>11</v>
      </c>
      <c r="G41" s="6">
        <v>0</v>
      </c>
      <c r="H41" s="9">
        <v>60000</v>
      </c>
      <c r="I41" s="9">
        <v>0</v>
      </c>
      <c r="J41" s="9">
        <v>0</v>
      </c>
      <c r="K41" s="9">
        <v>0</v>
      </c>
      <c r="L41" s="9">
        <f>60000-1000-4500</f>
        <v>54500</v>
      </c>
      <c r="M41" s="9">
        <f>66000</f>
        <v>66000</v>
      </c>
      <c r="N41" s="6">
        <f t="shared" si="0"/>
        <v>180500</v>
      </c>
      <c r="O41" s="9">
        <f>72600-72600</f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6">
        <f t="shared" si="1"/>
        <v>180500</v>
      </c>
    </row>
    <row r="42" spans="1:21" s="7" customFormat="1" ht="40.5" hidden="1" outlineLevel="1" x14ac:dyDescent="0.2">
      <c r="A42" s="391"/>
      <c r="B42" s="26"/>
      <c r="C42" s="113" t="s">
        <v>32</v>
      </c>
      <c r="D42" s="95" t="s">
        <v>14</v>
      </c>
      <c r="E42" s="8"/>
      <c r="F42" s="24" t="s">
        <v>11</v>
      </c>
      <c r="G42" s="6">
        <f>30893.1-20000</f>
        <v>10893.099999999999</v>
      </c>
      <c r="H42" s="9">
        <v>0</v>
      </c>
      <c r="I42" s="9">
        <v>33783</v>
      </c>
      <c r="J42" s="9">
        <v>44021.8</v>
      </c>
      <c r="K42" s="9">
        <v>61825.56</v>
      </c>
      <c r="L42" s="9">
        <v>0</v>
      </c>
      <c r="M42" s="9">
        <v>0</v>
      </c>
      <c r="N42" s="6">
        <f t="shared" si="0"/>
        <v>150523.46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6">
        <f t="shared" si="1"/>
        <v>150523.46</v>
      </c>
    </row>
    <row r="43" spans="1:21" s="7" customFormat="1" ht="57" hidden="1" customHeight="1" outlineLevel="1" x14ac:dyDescent="0.2">
      <c r="A43" s="129"/>
      <c r="B43" s="82"/>
      <c r="C43" s="111" t="s">
        <v>33</v>
      </c>
      <c r="D43" s="96" t="s">
        <v>14</v>
      </c>
      <c r="E43" s="75"/>
      <c r="F43" s="24" t="s">
        <v>11</v>
      </c>
      <c r="G43" s="6">
        <v>0</v>
      </c>
      <c r="H43" s="9">
        <v>0</v>
      </c>
      <c r="I43" s="9">
        <v>3000</v>
      </c>
      <c r="J43" s="9">
        <v>2597.8000000000002</v>
      </c>
      <c r="K43" s="9">
        <v>1300</v>
      </c>
      <c r="L43" s="9">
        <v>0</v>
      </c>
      <c r="M43" s="9">
        <v>0</v>
      </c>
      <c r="N43" s="6">
        <f t="shared" si="0"/>
        <v>6897.8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6">
        <f t="shared" si="1"/>
        <v>6897.8</v>
      </c>
    </row>
    <row r="44" spans="1:21" s="7" customFormat="1" ht="38.25" hidden="1" customHeight="1" outlineLevel="1" collapsed="1" x14ac:dyDescent="0.2">
      <c r="A44" s="101"/>
      <c r="B44" s="438"/>
      <c r="C44" s="109" t="s">
        <v>34</v>
      </c>
      <c r="D44" s="141" t="s">
        <v>254</v>
      </c>
      <c r="E44" s="425"/>
      <c r="F44" s="220" t="s">
        <v>11</v>
      </c>
      <c r="G44" s="106">
        <f t="shared" ref="G44:T44" si="2">SUM(G46:G59)</f>
        <v>0</v>
      </c>
      <c r="H44" s="6">
        <f t="shared" si="2"/>
        <v>0</v>
      </c>
      <c r="I44" s="6">
        <f t="shared" si="2"/>
        <v>0</v>
      </c>
      <c r="J44" s="6">
        <f t="shared" si="2"/>
        <v>2300</v>
      </c>
      <c r="K44" s="6">
        <f t="shared" si="2"/>
        <v>0</v>
      </c>
      <c r="L44" s="6">
        <f t="shared" si="2"/>
        <v>15850</v>
      </c>
      <c r="M44" s="6">
        <f t="shared" si="2"/>
        <v>9150</v>
      </c>
      <c r="N44" s="6">
        <f t="shared" si="0"/>
        <v>27300</v>
      </c>
      <c r="O44" s="6">
        <f t="shared" si="2"/>
        <v>19500</v>
      </c>
      <c r="P44" s="6">
        <f t="shared" si="2"/>
        <v>26600</v>
      </c>
      <c r="Q44" s="6">
        <f t="shared" si="2"/>
        <v>0</v>
      </c>
      <c r="R44" s="6">
        <f t="shared" si="2"/>
        <v>0</v>
      </c>
      <c r="S44" s="6">
        <f t="shared" si="2"/>
        <v>0</v>
      </c>
      <c r="T44" s="6">
        <f t="shared" si="2"/>
        <v>0</v>
      </c>
      <c r="U44" s="6">
        <f t="shared" si="1"/>
        <v>73400</v>
      </c>
    </row>
    <row r="45" spans="1:21" s="7" customFormat="1" ht="15.75" hidden="1" customHeight="1" outlineLevel="1" x14ac:dyDescent="0.2">
      <c r="A45" s="8"/>
      <c r="B45" s="439"/>
      <c r="C45" s="109" t="s">
        <v>35</v>
      </c>
      <c r="D45" s="104"/>
      <c r="E45" s="426"/>
      <c r="F45" s="10"/>
      <c r="G45" s="106"/>
      <c r="H45" s="9"/>
      <c r="I45" s="9"/>
      <c r="J45" s="9"/>
      <c r="K45" s="9"/>
      <c r="L45" s="9"/>
      <c r="M45" s="9"/>
      <c r="N45" s="6"/>
      <c r="O45" s="9"/>
      <c r="P45" s="9"/>
      <c r="Q45" s="9"/>
      <c r="R45" s="9"/>
      <c r="S45" s="9"/>
      <c r="T45" s="9"/>
      <c r="U45" s="6"/>
    </row>
    <row r="46" spans="1:21" s="7" customFormat="1" ht="29.25" hidden="1" customHeight="1" outlineLevel="1" x14ac:dyDescent="0.2">
      <c r="A46" s="8"/>
      <c r="B46" s="439"/>
      <c r="C46" s="109" t="s">
        <v>36</v>
      </c>
      <c r="D46" s="104"/>
      <c r="E46" s="426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3500</v>
      </c>
      <c r="M46" s="17">
        <f>900-350-350</f>
        <v>200</v>
      </c>
      <c r="N46" s="6">
        <f t="shared" si="0"/>
        <v>3700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3700</v>
      </c>
    </row>
    <row r="47" spans="1:21" s="7" customFormat="1" ht="19.5" hidden="1" customHeight="1" outlineLevel="1" x14ac:dyDescent="0.2">
      <c r="A47" s="8"/>
      <c r="B47" s="439"/>
      <c r="C47" s="109" t="s">
        <v>37</v>
      </c>
      <c r="D47" s="104"/>
      <c r="E47" s="426"/>
      <c r="F47" s="10"/>
      <c r="G47" s="105">
        <v>0</v>
      </c>
      <c r="H47" s="16">
        <v>0</v>
      </c>
      <c r="I47" s="16">
        <v>0</v>
      </c>
      <c r="J47" s="16">
        <v>2300</v>
      </c>
      <c r="K47" s="16">
        <v>0</v>
      </c>
      <c r="L47" s="17">
        <f>5100-450</f>
        <v>4650</v>
      </c>
      <c r="M47" s="17">
        <v>2800</v>
      </c>
      <c r="N47" s="6">
        <f t="shared" si="0"/>
        <v>9750</v>
      </c>
      <c r="O47" s="17">
        <v>0</v>
      </c>
      <c r="P47" s="17">
        <v>5500</v>
      </c>
      <c r="Q47" s="17">
        <f>5200-5200</f>
        <v>0</v>
      </c>
      <c r="R47" s="17">
        <v>0</v>
      </c>
      <c r="S47" s="17">
        <v>0</v>
      </c>
      <c r="T47" s="17">
        <f>5500-5500</f>
        <v>0</v>
      </c>
      <c r="U47" s="6">
        <f t="shared" si="1"/>
        <v>15250</v>
      </c>
    </row>
    <row r="48" spans="1:21" s="7" customFormat="1" ht="18.75" hidden="1" customHeight="1" outlineLevel="1" x14ac:dyDescent="0.2">
      <c r="A48" s="8"/>
      <c r="B48" s="439"/>
      <c r="C48" s="109" t="s">
        <v>38</v>
      </c>
      <c r="D48" s="104"/>
      <c r="E48" s="426"/>
      <c r="F48" s="10"/>
      <c r="G48" s="105">
        <v>0</v>
      </c>
      <c r="H48" s="16">
        <v>0</v>
      </c>
      <c r="I48" s="16">
        <v>0</v>
      </c>
      <c r="J48" s="16">
        <v>0</v>
      </c>
      <c r="K48" s="16">
        <v>0</v>
      </c>
      <c r="L48" s="17">
        <f>4000+375</f>
        <v>4375</v>
      </c>
      <c r="M48" s="17">
        <v>4300</v>
      </c>
      <c r="N48" s="6">
        <f t="shared" si="0"/>
        <v>8675</v>
      </c>
      <c r="O48" s="17">
        <f>4500+1600</f>
        <v>6100</v>
      </c>
      <c r="P48" s="17">
        <f>7000+500-1260</f>
        <v>6240</v>
      </c>
      <c r="Q48" s="17">
        <f>6500-6500</f>
        <v>0</v>
      </c>
      <c r="R48" s="17">
        <v>0</v>
      </c>
      <c r="S48" s="17">
        <v>0</v>
      </c>
      <c r="T48" s="17">
        <v>0</v>
      </c>
      <c r="U48" s="6">
        <f t="shared" si="1"/>
        <v>21015</v>
      </c>
    </row>
    <row r="49" spans="1:21" s="7" customFormat="1" ht="18" hidden="1" customHeight="1" outlineLevel="1" x14ac:dyDescent="0.2">
      <c r="A49" s="8"/>
      <c r="B49" s="439"/>
      <c r="C49" s="109" t="s">
        <v>39</v>
      </c>
      <c r="D49" s="104"/>
      <c r="E49" s="426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7">
        <f>850+350</f>
        <v>1200</v>
      </c>
      <c r="N49" s="6">
        <f t="shared" si="0"/>
        <v>1200</v>
      </c>
      <c r="O49" s="17">
        <f>735-735</f>
        <v>0</v>
      </c>
      <c r="P49" s="17">
        <f>1713.6</f>
        <v>1713.6</v>
      </c>
      <c r="Q49" s="17">
        <f>1200-1200</f>
        <v>0</v>
      </c>
      <c r="R49" s="17">
        <f>1300-1300</f>
        <v>0</v>
      </c>
      <c r="S49" s="17">
        <v>0</v>
      </c>
      <c r="T49" s="17">
        <v>0</v>
      </c>
      <c r="U49" s="6">
        <f t="shared" si="1"/>
        <v>2913.6000000000004</v>
      </c>
    </row>
    <row r="50" spans="1:21" s="7" customFormat="1" ht="18" hidden="1" customHeight="1" outlineLevel="1" x14ac:dyDescent="0.2">
      <c r="A50" s="8"/>
      <c r="B50" s="439"/>
      <c r="C50" s="109" t="s">
        <v>40</v>
      </c>
      <c r="D50" s="104"/>
      <c r="E50" s="426"/>
      <c r="F50" s="10"/>
      <c r="G50" s="105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7">
        <f>300+350</f>
        <v>650</v>
      </c>
      <c r="N50" s="6">
        <f t="shared" si="0"/>
        <v>650</v>
      </c>
      <c r="O50" s="17">
        <v>0</v>
      </c>
      <c r="P50" s="17">
        <v>0</v>
      </c>
      <c r="Q50" s="17">
        <f>250-250</f>
        <v>0</v>
      </c>
      <c r="R50" s="17">
        <f>300-300</f>
        <v>0</v>
      </c>
      <c r="S50" s="17">
        <v>0</v>
      </c>
      <c r="T50" s="17">
        <v>0</v>
      </c>
      <c r="U50" s="6">
        <f t="shared" si="1"/>
        <v>650</v>
      </c>
    </row>
    <row r="51" spans="1:21" s="7" customFormat="1" ht="17.25" hidden="1" customHeight="1" outlineLevel="1" x14ac:dyDescent="0.2">
      <c r="A51" s="8"/>
      <c r="B51" s="439"/>
      <c r="C51" s="109" t="s">
        <v>41</v>
      </c>
      <c r="D51" s="104"/>
      <c r="E51" s="10"/>
      <c r="F51" s="10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2875</v>
      </c>
      <c r="M51" s="17">
        <v>0</v>
      </c>
      <c r="N51" s="6">
        <f t="shared" si="0"/>
        <v>2875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6">
        <f t="shared" si="1"/>
        <v>2875</v>
      </c>
    </row>
    <row r="52" spans="1:21" s="7" customFormat="1" ht="21" hidden="1" customHeight="1" outlineLevel="1" x14ac:dyDescent="0.2">
      <c r="A52" s="8"/>
      <c r="B52" s="11"/>
      <c r="C52" s="109" t="s">
        <v>42</v>
      </c>
      <c r="D52" s="104"/>
      <c r="E52" s="10"/>
      <c r="F52" s="10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7">
        <v>450</v>
      </c>
      <c r="M52" s="16">
        <v>0</v>
      </c>
      <c r="N52" s="6">
        <f t="shared" si="0"/>
        <v>450</v>
      </c>
      <c r="O52" s="16">
        <v>0</v>
      </c>
      <c r="P52" s="16">
        <v>0</v>
      </c>
      <c r="Q52" s="16">
        <f>300-300</f>
        <v>0</v>
      </c>
      <c r="R52" s="16">
        <f>300-300</f>
        <v>0</v>
      </c>
      <c r="S52" s="16">
        <f>300-300</f>
        <v>0</v>
      </c>
      <c r="T52" s="16">
        <v>0</v>
      </c>
      <c r="U52" s="6">
        <f t="shared" si="1"/>
        <v>450</v>
      </c>
    </row>
    <row r="53" spans="1:21" s="7" customFormat="1" ht="30" hidden="1" customHeight="1" outlineLevel="1" x14ac:dyDescent="0.2">
      <c r="A53" s="8"/>
      <c r="B53" s="11"/>
      <c r="C53" s="110" t="s">
        <v>263</v>
      </c>
      <c r="D53" s="23"/>
      <c r="E53" s="10"/>
      <c r="F53" s="10"/>
      <c r="G53" s="107">
        <v>0</v>
      </c>
      <c r="H53" s="20">
        <v>0</v>
      </c>
      <c r="I53" s="20">
        <v>0</v>
      </c>
      <c r="J53" s="20">
        <v>0</v>
      </c>
      <c r="K53" s="20">
        <v>0</v>
      </c>
      <c r="L53" s="21">
        <v>0</v>
      </c>
      <c r="M53" s="20">
        <v>0</v>
      </c>
      <c r="N53" s="6">
        <f t="shared" si="0"/>
        <v>0</v>
      </c>
      <c r="O53" s="20">
        <v>6000</v>
      </c>
      <c r="P53" s="20">
        <f>7500-453.6</f>
        <v>7046.4</v>
      </c>
      <c r="Q53" s="20">
        <v>0</v>
      </c>
      <c r="R53" s="20">
        <v>0</v>
      </c>
      <c r="S53" s="20">
        <v>0</v>
      </c>
      <c r="T53" s="20">
        <v>0</v>
      </c>
      <c r="U53" s="6">
        <f t="shared" si="1"/>
        <v>13046.4</v>
      </c>
    </row>
    <row r="54" spans="1:21" s="7" customFormat="1" ht="28.5" hidden="1" customHeight="1" outlineLevel="1" x14ac:dyDescent="0.2">
      <c r="A54" s="8"/>
      <c r="B54" s="11"/>
      <c r="C54" s="109" t="s">
        <v>43</v>
      </c>
      <c r="D54" s="23"/>
      <c r="E54" s="10"/>
      <c r="F54" s="10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7">
        <v>0</v>
      </c>
      <c r="M54" s="16">
        <v>0</v>
      </c>
      <c r="N54" s="6">
        <f t="shared" si="0"/>
        <v>0</v>
      </c>
      <c r="O54" s="16">
        <v>5200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5200</v>
      </c>
    </row>
    <row r="55" spans="1:21" s="7" customFormat="1" ht="23.25" hidden="1" customHeight="1" outlineLevel="1" x14ac:dyDescent="0.2">
      <c r="A55" s="8"/>
      <c r="B55" s="11"/>
      <c r="C55" s="109" t="s">
        <v>44</v>
      </c>
      <c r="D55" s="23"/>
      <c r="E55" s="10"/>
      <c r="F55" s="10"/>
      <c r="G55" s="105">
        <v>0</v>
      </c>
      <c r="H55" s="16">
        <v>0</v>
      </c>
      <c r="I55" s="16">
        <v>0</v>
      </c>
      <c r="J55" s="16">
        <v>0</v>
      </c>
      <c r="K55" s="16">
        <v>0</v>
      </c>
      <c r="L55" s="17">
        <v>0</v>
      </c>
      <c r="M55" s="16">
        <v>0</v>
      </c>
      <c r="N55" s="6">
        <f t="shared" si="0"/>
        <v>0</v>
      </c>
      <c r="O55" s="16">
        <v>2200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6">
        <f t="shared" si="1"/>
        <v>2200</v>
      </c>
    </row>
    <row r="56" spans="1:21" s="7" customFormat="1" ht="21.75" hidden="1" customHeight="1" outlineLevel="1" x14ac:dyDescent="0.2">
      <c r="A56" s="8"/>
      <c r="B56" s="11"/>
      <c r="C56" s="110" t="s">
        <v>45</v>
      </c>
      <c r="D56" s="23"/>
      <c r="E56" s="10"/>
      <c r="F56" s="19"/>
      <c r="G56" s="105">
        <v>0</v>
      </c>
      <c r="H56" s="16">
        <v>0</v>
      </c>
      <c r="I56" s="16">
        <v>0</v>
      </c>
      <c r="J56" s="16">
        <v>0</v>
      </c>
      <c r="K56" s="16">
        <v>0</v>
      </c>
      <c r="L56" s="17">
        <v>0</v>
      </c>
      <c r="M56" s="16">
        <v>0</v>
      </c>
      <c r="N56" s="6">
        <f t="shared" si="0"/>
        <v>0</v>
      </c>
      <c r="O56" s="16">
        <v>0</v>
      </c>
      <c r="P56" s="16">
        <v>0</v>
      </c>
      <c r="Q56" s="16">
        <f>1000-1000</f>
        <v>0</v>
      </c>
      <c r="R56" s="16">
        <v>0</v>
      </c>
      <c r="S56" s="16">
        <v>0</v>
      </c>
      <c r="T56" s="16">
        <v>0</v>
      </c>
      <c r="U56" s="6">
        <f t="shared" si="1"/>
        <v>0</v>
      </c>
    </row>
    <row r="57" spans="1:21" s="7" customFormat="1" ht="21.75" hidden="1" customHeight="1" outlineLevel="1" x14ac:dyDescent="0.2">
      <c r="A57" s="8"/>
      <c r="B57" s="11"/>
      <c r="C57" s="110" t="s">
        <v>46</v>
      </c>
      <c r="D57" s="23"/>
      <c r="E57" s="10"/>
      <c r="F57" s="19"/>
      <c r="G57" s="105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6">
        <f t="shared" si="0"/>
        <v>0</v>
      </c>
      <c r="O57" s="16">
        <v>0</v>
      </c>
      <c r="P57" s="16">
        <v>0</v>
      </c>
      <c r="Q57" s="16">
        <v>0</v>
      </c>
      <c r="R57" s="16">
        <f>7000-7000</f>
        <v>0</v>
      </c>
      <c r="S57" s="16">
        <v>0</v>
      </c>
      <c r="T57" s="16">
        <v>0</v>
      </c>
      <c r="U57" s="6">
        <f t="shared" si="1"/>
        <v>0</v>
      </c>
    </row>
    <row r="58" spans="1:21" s="7" customFormat="1" ht="21.75" hidden="1" customHeight="1" outlineLevel="1" x14ac:dyDescent="0.2">
      <c r="A58" s="8"/>
      <c r="B58" s="11"/>
      <c r="C58" s="110" t="s">
        <v>47</v>
      </c>
      <c r="D58" s="23"/>
      <c r="E58" s="10"/>
      <c r="F58" s="19"/>
      <c r="G58" s="105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6">
        <f t="shared" si="0"/>
        <v>0</v>
      </c>
      <c r="O58" s="16">
        <v>0</v>
      </c>
      <c r="P58" s="16">
        <v>0</v>
      </c>
      <c r="Q58" s="16">
        <f>4800-4800</f>
        <v>0</v>
      </c>
      <c r="R58" s="16">
        <v>0</v>
      </c>
      <c r="S58" s="16">
        <f>5000-5000</f>
        <v>0</v>
      </c>
      <c r="T58" s="16">
        <v>0</v>
      </c>
      <c r="U58" s="6">
        <f t="shared" si="1"/>
        <v>0</v>
      </c>
    </row>
    <row r="59" spans="1:21" s="7" customFormat="1" ht="24.75" hidden="1" customHeight="1" outlineLevel="1" x14ac:dyDescent="0.2">
      <c r="A59" s="8"/>
      <c r="B59" s="11"/>
      <c r="C59" s="110" t="s">
        <v>48</v>
      </c>
      <c r="D59" s="136"/>
      <c r="E59" s="10"/>
      <c r="F59" s="108"/>
      <c r="G59" s="105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6">
        <f t="shared" si="0"/>
        <v>0</v>
      </c>
      <c r="O59" s="16">
        <v>0</v>
      </c>
      <c r="P59" s="16">
        <v>6100</v>
      </c>
      <c r="Q59" s="16">
        <v>0</v>
      </c>
      <c r="R59" s="16">
        <v>0</v>
      </c>
      <c r="S59" s="16">
        <v>0</v>
      </c>
      <c r="T59" s="16">
        <v>0</v>
      </c>
      <c r="U59" s="6">
        <f t="shared" si="1"/>
        <v>6100</v>
      </c>
    </row>
    <row r="60" spans="1:21" s="7" customFormat="1" ht="48.75" hidden="1" customHeight="1" outlineLevel="1" x14ac:dyDescent="0.2">
      <c r="A60" s="8"/>
      <c r="B60" s="11"/>
      <c r="C60" s="138" t="s">
        <v>49</v>
      </c>
      <c r="D60" s="142" t="s">
        <v>50</v>
      </c>
      <c r="E60" s="10"/>
      <c r="F60" s="24" t="s">
        <v>11</v>
      </c>
      <c r="G60" s="6">
        <v>0</v>
      </c>
      <c r="H60" s="6">
        <v>0</v>
      </c>
      <c r="I60" s="6">
        <v>0</v>
      </c>
      <c r="J60" s="6">
        <v>2000</v>
      </c>
      <c r="K60" s="6">
        <v>1760.9</v>
      </c>
      <c r="L60" s="6">
        <f>2000+2100</f>
        <v>4100</v>
      </c>
      <c r="M60" s="6">
        <f>2500+3000+2149.3</f>
        <v>7649.3</v>
      </c>
      <c r="N60" s="6">
        <f t="shared" si="0"/>
        <v>15510.2</v>
      </c>
      <c r="O60" s="6">
        <f>3000+10000+2000+13790</f>
        <v>28790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f t="shared" si="1"/>
        <v>44300.2</v>
      </c>
    </row>
    <row r="61" spans="1:21" s="7" customFormat="1" ht="53.25" hidden="1" customHeight="1" outlineLevel="1" x14ac:dyDescent="0.2">
      <c r="A61" s="8"/>
      <c r="B61" s="11"/>
      <c r="C61" s="139" t="s">
        <v>51</v>
      </c>
      <c r="D61" s="136" t="s">
        <v>50</v>
      </c>
      <c r="E61" s="10"/>
      <c r="F61" s="24" t="s">
        <v>11</v>
      </c>
      <c r="G61" s="6">
        <v>0</v>
      </c>
      <c r="H61" s="6">
        <v>0</v>
      </c>
      <c r="I61" s="6">
        <v>0</v>
      </c>
      <c r="J61" s="6">
        <v>7900</v>
      </c>
      <c r="K61" s="6">
        <v>6611.6</v>
      </c>
      <c r="L61" s="6">
        <v>10000</v>
      </c>
      <c r="M61" s="6">
        <f>14000-2149.3</f>
        <v>11850.7</v>
      </c>
      <c r="N61" s="6">
        <f t="shared" si="0"/>
        <v>36362.300000000003</v>
      </c>
      <c r="O61" s="6">
        <f>20000-10000</f>
        <v>10000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46362.3</v>
      </c>
    </row>
    <row r="62" spans="1:21" s="7" customFormat="1" ht="40.5" hidden="1" customHeight="1" outlineLevel="1" x14ac:dyDescent="0.2">
      <c r="A62" s="8"/>
      <c r="B62" s="11"/>
      <c r="C62" s="138" t="s">
        <v>52</v>
      </c>
      <c r="D62" s="137" t="s">
        <v>50</v>
      </c>
      <c r="E62" s="10"/>
      <c r="F62" s="24" t="s">
        <v>11</v>
      </c>
      <c r="G62" s="6">
        <v>0</v>
      </c>
      <c r="H62" s="6">
        <v>0</v>
      </c>
      <c r="I62" s="6">
        <v>0</v>
      </c>
      <c r="J62" s="6">
        <v>1600</v>
      </c>
      <c r="K62" s="6">
        <v>5500</v>
      </c>
      <c r="L62" s="6">
        <f>7600-3900</f>
        <v>3700</v>
      </c>
      <c r="M62" s="6">
        <f>8360-8360</f>
        <v>0</v>
      </c>
      <c r="N62" s="6">
        <f t="shared" si="0"/>
        <v>10800</v>
      </c>
      <c r="O62" s="6">
        <f>9200-9200</f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10800</v>
      </c>
    </row>
    <row r="63" spans="1:21" s="7" customFormat="1" ht="65.25" hidden="1" customHeight="1" outlineLevel="1" collapsed="1" x14ac:dyDescent="0.2">
      <c r="A63" s="8"/>
      <c r="B63" s="11"/>
      <c r="C63" s="140" t="s">
        <v>53</v>
      </c>
      <c r="D63" s="98" t="s">
        <v>50</v>
      </c>
      <c r="E63" s="10"/>
      <c r="F63" s="24" t="s">
        <v>11</v>
      </c>
      <c r="G63" s="6">
        <v>0</v>
      </c>
      <c r="H63" s="9">
        <v>0</v>
      </c>
      <c r="I63" s="9">
        <v>0</v>
      </c>
      <c r="J63" s="9">
        <v>6000</v>
      </c>
      <c r="K63" s="9">
        <v>13000</v>
      </c>
      <c r="L63" s="9">
        <v>1260</v>
      </c>
      <c r="M63" s="9">
        <v>1385</v>
      </c>
      <c r="N63" s="6">
        <f t="shared" si="0"/>
        <v>21645</v>
      </c>
      <c r="O63" s="9">
        <v>1525</v>
      </c>
      <c r="P63" s="9">
        <v>0</v>
      </c>
      <c r="Q63" s="9">
        <f>1300-1300</f>
        <v>0</v>
      </c>
      <c r="R63" s="9">
        <f>1500-1500</f>
        <v>0</v>
      </c>
      <c r="S63" s="9">
        <f>2000-2000</f>
        <v>0</v>
      </c>
      <c r="T63" s="9">
        <f>2500-2500</f>
        <v>0</v>
      </c>
      <c r="U63" s="6">
        <f t="shared" si="1"/>
        <v>23170</v>
      </c>
    </row>
    <row r="64" spans="1:21" s="7" customFormat="1" ht="72.75" hidden="1" customHeight="1" outlineLevel="1" x14ac:dyDescent="0.2">
      <c r="A64" s="423"/>
      <c r="B64" s="11"/>
      <c r="C64" s="140" t="s">
        <v>54</v>
      </c>
      <c r="D64" s="98" t="s">
        <v>50</v>
      </c>
      <c r="E64" s="10"/>
      <c r="F64" s="24" t="s">
        <v>11</v>
      </c>
      <c r="G64" s="6">
        <v>0</v>
      </c>
      <c r="H64" s="9">
        <v>0</v>
      </c>
      <c r="I64" s="9">
        <v>0</v>
      </c>
      <c r="J64" s="9">
        <v>2500</v>
      </c>
      <c r="K64" s="9">
        <v>7500</v>
      </c>
      <c r="L64" s="9">
        <v>1835.7</v>
      </c>
      <c r="M64" s="9">
        <f>8500</f>
        <v>8500</v>
      </c>
      <c r="N64" s="6">
        <f t="shared" si="0"/>
        <v>20335.7</v>
      </c>
      <c r="O64" s="9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f t="shared" si="1"/>
        <v>20335.7</v>
      </c>
    </row>
    <row r="65" spans="1:21" s="7" customFormat="1" ht="78.75" hidden="1" customHeight="1" outlineLevel="1" collapsed="1" x14ac:dyDescent="0.2">
      <c r="A65" s="424"/>
      <c r="B65" s="11"/>
      <c r="C65" s="140" t="s">
        <v>268</v>
      </c>
      <c r="D65" s="98" t="s">
        <v>259</v>
      </c>
      <c r="E65" s="10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1000</v>
      </c>
      <c r="L65" s="9">
        <v>10000</v>
      </c>
      <c r="M65" s="9">
        <f>10000-8500</f>
        <v>1500</v>
      </c>
      <c r="N65" s="6">
        <f t="shared" si="0"/>
        <v>12500</v>
      </c>
      <c r="O65" s="9">
        <v>0</v>
      </c>
      <c r="P65" s="9">
        <v>0</v>
      </c>
      <c r="Q65" s="9">
        <f>1000-1000</f>
        <v>0</v>
      </c>
      <c r="R65" s="9">
        <v>0</v>
      </c>
      <c r="S65" s="9">
        <v>0</v>
      </c>
      <c r="T65" s="9">
        <v>0</v>
      </c>
      <c r="U65" s="6">
        <f t="shared" si="1"/>
        <v>12500</v>
      </c>
    </row>
    <row r="66" spans="1:21" s="7" customFormat="1" ht="46.5" hidden="1" customHeight="1" outlineLevel="1" x14ac:dyDescent="0.2">
      <c r="A66" s="8"/>
      <c r="B66" s="11"/>
      <c r="C66" s="140" t="s">
        <v>55</v>
      </c>
      <c r="D66" s="98" t="s">
        <v>56</v>
      </c>
      <c r="E66" s="10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7950</v>
      </c>
      <c r="L66" s="9">
        <v>0</v>
      </c>
      <c r="M66" s="9">
        <v>0</v>
      </c>
      <c r="N66" s="6">
        <f t="shared" si="0"/>
        <v>7950</v>
      </c>
      <c r="O66" s="9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f t="shared" si="1"/>
        <v>7950</v>
      </c>
    </row>
    <row r="67" spans="1:21" s="7" customFormat="1" ht="49.5" hidden="1" customHeight="1" outlineLevel="1" x14ac:dyDescent="0.2">
      <c r="A67" s="8"/>
      <c r="B67" s="11"/>
      <c r="C67" s="140" t="s">
        <v>57</v>
      </c>
      <c r="D67" s="98" t="s">
        <v>50</v>
      </c>
      <c r="E67" s="10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1000</v>
      </c>
      <c r="L67" s="9">
        <v>10000</v>
      </c>
      <c r="M67" s="9">
        <f>4000-2250</f>
        <v>1750</v>
      </c>
      <c r="N67" s="6">
        <f t="shared" si="0"/>
        <v>12750</v>
      </c>
      <c r="O67" s="9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f t="shared" si="1"/>
        <v>12750</v>
      </c>
    </row>
    <row r="68" spans="1:21" s="7" customFormat="1" ht="56.25" hidden="1" customHeight="1" outlineLevel="1" x14ac:dyDescent="0.2">
      <c r="A68" s="8"/>
      <c r="B68" s="11"/>
      <c r="C68" s="139" t="s">
        <v>58</v>
      </c>
      <c r="D68" s="99" t="s">
        <v>59</v>
      </c>
      <c r="E68" s="386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2000</v>
      </c>
      <c r="M68" s="9">
        <v>7000</v>
      </c>
      <c r="N68" s="6">
        <f t="shared" si="0"/>
        <v>9000</v>
      </c>
      <c r="O68" s="9">
        <v>10000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f t="shared" si="1"/>
        <v>19000</v>
      </c>
    </row>
    <row r="69" spans="1:21" s="7" customFormat="1" ht="60.75" hidden="1" customHeight="1" outlineLevel="1" collapsed="1" x14ac:dyDescent="0.2">
      <c r="A69" s="8"/>
      <c r="B69" s="11"/>
      <c r="C69" s="110" t="s">
        <v>60</v>
      </c>
      <c r="D69" s="136" t="s">
        <v>260</v>
      </c>
      <c r="E69" s="386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v>2000</v>
      </c>
      <c r="M69" s="9">
        <v>2000</v>
      </c>
      <c r="N69" s="6">
        <f t="shared" si="0"/>
        <v>4000</v>
      </c>
      <c r="O69" s="9">
        <v>0</v>
      </c>
      <c r="P69" s="9">
        <v>0</v>
      </c>
      <c r="Q69" s="9">
        <v>0</v>
      </c>
      <c r="R69" s="9">
        <f>5000-5000</f>
        <v>0</v>
      </c>
      <c r="S69" s="9">
        <v>0</v>
      </c>
      <c r="T69" s="9">
        <v>0</v>
      </c>
      <c r="U69" s="6">
        <f t="shared" si="1"/>
        <v>4000</v>
      </c>
    </row>
    <row r="70" spans="1:21" s="7" customFormat="1" ht="71.25" hidden="1" customHeight="1" outlineLevel="1" x14ac:dyDescent="0.2">
      <c r="A70" s="8"/>
      <c r="B70" s="11"/>
      <c r="C70" s="14" t="s">
        <v>62</v>
      </c>
      <c r="D70" s="142" t="s">
        <v>260</v>
      </c>
      <c r="E70" s="386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2000</v>
      </c>
      <c r="M70" s="9">
        <v>2000</v>
      </c>
      <c r="N70" s="6">
        <f t="shared" si="0"/>
        <v>4000</v>
      </c>
      <c r="O70" s="9">
        <v>0</v>
      </c>
      <c r="P70" s="9">
        <v>0</v>
      </c>
      <c r="Q70" s="9">
        <f>4200-4200</f>
        <v>0</v>
      </c>
      <c r="R70" s="9">
        <v>0</v>
      </c>
      <c r="S70" s="9">
        <v>0</v>
      </c>
      <c r="T70" s="9">
        <v>0</v>
      </c>
      <c r="U70" s="6">
        <f t="shared" si="1"/>
        <v>4000</v>
      </c>
    </row>
    <row r="71" spans="1:21" s="7" customFormat="1" ht="44.25" hidden="1" customHeight="1" outlineLevel="1" x14ac:dyDescent="0.2">
      <c r="A71" s="8"/>
      <c r="B71" s="11"/>
      <c r="C71" s="138" t="s">
        <v>63</v>
      </c>
      <c r="D71" s="137" t="s">
        <v>255</v>
      </c>
      <c r="E71" s="386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500+1000</f>
        <v>1500</v>
      </c>
      <c r="M71" s="9">
        <v>1000</v>
      </c>
      <c r="N71" s="6">
        <f t="shared" si="0"/>
        <v>2500</v>
      </c>
      <c r="O71" s="9">
        <v>1500</v>
      </c>
      <c r="P71" s="9">
        <v>2000</v>
      </c>
      <c r="Q71" s="9">
        <f>3000-3000</f>
        <v>0</v>
      </c>
      <c r="R71" s="9">
        <f>8000-8000</f>
        <v>0</v>
      </c>
      <c r="S71" s="9">
        <f>10000-10000</f>
        <v>0</v>
      </c>
      <c r="T71" s="9">
        <f>10000-10000</f>
        <v>0</v>
      </c>
      <c r="U71" s="6">
        <f t="shared" si="1"/>
        <v>6000</v>
      </c>
    </row>
    <row r="72" spans="1:21" s="7" customFormat="1" ht="45.75" hidden="1" customHeight="1" outlineLevel="1" x14ac:dyDescent="0.2">
      <c r="A72" s="8"/>
      <c r="B72" s="421"/>
      <c r="C72" s="140" t="s">
        <v>64</v>
      </c>
      <c r="D72" s="98" t="s">
        <v>260</v>
      </c>
      <c r="E72" s="386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1000</v>
      </c>
      <c r="M72" s="9">
        <v>3000</v>
      </c>
      <c r="N72" s="6">
        <f t="shared" si="0"/>
        <v>4000</v>
      </c>
      <c r="O72" s="9">
        <f>3000-3000</f>
        <v>0</v>
      </c>
      <c r="P72" s="9">
        <v>0</v>
      </c>
      <c r="Q72" s="9">
        <f>1500-1500</f>
        <v>0</v>
      </c>
      <c r="R72" s="9">
        <f>2000-2000</f>
        <v>0</v>
      </c>
      <c r="S72" s="9">
        <v>0</v>
      </c>
      <c r="T72" s="9">
        <v>0</v>
      </c>
      <c r="U72" s="6">
        <f t="shared" si="1"/>
        <v>4000</v>
      </c>
    </row>
    <row r="73" spans="1:21" s="7" customFormat="1" ht="46.5" hidden="1" customHeight="1" outlineLevel="1" x14ac:dyDescent="0.2">
      <c r="A73" s="423"/>
      <c r="B73" s="422"/>
      <c r="C73" s="140" t="s">
        <v>264</v>
      </c>
      <c r="D73" s="98" t="s">
        <v>260</v>
      </c>
      <c r="E73" s="386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6500</v>
      </c>
      <c r="N73" s="6">
        <f t="shared" si="0"/>
        <v>6500</v>
      </c>
      <c r="O73" s="9">
        <v>0</v>
      </c>
      <c r="P73" s="9">
        <v>0</v>
      </c>
      <c r="Q73" s="9">
        <v>0</v>
      </c>
      <c r="R73" s="9">
        <f>5500-5500</f>
        <v>0</v>
      </c>
      <c r="S73" s="9">
        <v>0</v>
      </c>
      <c r="T73" s="9">
        <v>0</v>
      </c>
      <c r="U73" s="6">
        <f t="shared" si="1"/>
        <v>6500</v>
      </c>
    </row>
    <row r="74" spans="1:21" s="7" customFormat="1" ht="45" hidden="1" customHeight="1" outlineLevel="1" x14ac:dyDescent="0.2">
      <c r="A74" s="424"/>
      <c r="B74" s="422"/>
      <c r="C74" s="140" t="s">
        <v>65</v>
      </c>
      <c r="D74" s="98" t="s">
        <v>260</v>
      </c>
      <c r="E74" s="386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f>10000-2100</f>
        <v>7900</v>
      </c>
      <c r="M74" s="9">
        <v>0</v>
      </c>
      <c r="N74" s="6">
        <f t="shared" si="0"/>
        <v>7900</v>
      </c>
      <c r="O74" s="9">
        <v>0</v>
      </c>
      <c r="P74" s="9">
        <v>0</v>
      </c>
      <c r="Q74" s="9">
        <f>300-300</f>
        <v>0</v>
      </c>
      <c r="R74" s="9">
        <f>300-300</f>
        <v>0</v>
      </c>
      <c r="S74" s="9">
        <v>0</v>
      </c>
      <c r="T74" s="9">
        <v>0</v>
      </c>
      <c r="U74" s="6">
        <f t="shared" si="1"/>
        <v>7900</v>
      </c>
    </row>
    <row r="75" spans="1:21" s="7" customFormat="1" ht="44.25" hidden="1" customHeight="1" outlineLevel="1" x14ac:dyDescent="0.2">
      <c r="A75" s="75"/>
      <c r="B75" s="13"/>
      <c r="C75" s="139" t="s">
        <v>213</v>
      </c>
      <c r="D75" s="99" t="s">
        <v>61</v>
      </c>
      <c r="E75" s="127"/>
      <c r="F75" s="24" t="s">
        <v>11</v>
      </c>
      <c r="G75" s="6">
        <v>0</v>
      </c>
      <c r="H75" s="9">
        <v>0</v>
      </c>
      <c r="I75" s="9">
        <v>0</v>
      </c>
      <c r="J75" s="9">
        <v>0</v>
      </c>
      <c r="K75" s="9">
        <v>0</v>
      </c>
      <c r="L75" s="9">
        <v>51559</v>
      </c>
      <c r="M75" s="9">
        <v>50074</v>
      </c>
      <c r="N75" s="6">
        <f t="shared" si="0"/>
        <v>101633</v>
      </c>
      <c r="O75" s="9">
        <v>51535</v>
      </c>
      <c r="P75" s="9">
        <v>63296.71587</v>
      </c>
      <c r="Q75" s="9">
        <f>69180.47911+3210.84737</f>
        <v>72391.326480000003</v>
      </c>
      <c r="R75" s="9">
        <f>62949.17669+9104.43512</f>
        <v>72053.611810000002</v>
      </c>
      <c r="S75" s="9">
        <f>59681.44191+8050.71317</f>
        <v>67732.155079999997</v>
      </c>
      <c r="T75" s="328">
        <f>56045.67041+5300</f>
        <v>61345.670409999999</v>
      </c>
      <c r="U75" s="321">
        <f t="shared" si="1"/>
        <v>489987.47965000011</v>
      </c>
    </row>
    <row r="76" spans="1:21" s="7" customFormat="1" ht="57" hidden="1" customHeight="1" outlineLevel="1" x14ac:dyDescent="0.2">
      <c r="A76" s="196"/>
      <c r="B76" s="221"/>
      <c r="C76" s="14" t="s">
        <v>66</v>
      </c>
      <c r="D76" s="135" t="s">
        <v>61</v>
      </c>
      <c r="E76" s="203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f>307183.1-2334.6</f>
        <v>304848.5</v>
      </c>
      <c r="M76" s="6">
        <f>361442.2-1000</f>
        <v>360442.2</v>
      </c>
      <c r="N76" s="6">
        <f t="shared" si="0"/>
        <v>665290.69999999995</v>
      </c>
      <c r="O76" s="6">
        <v>449833.8</v>
      </c>
      <c r="P76" s="6">
        <v>550038.13575999998</v>
      </c>
      <c r="Q76" s="6">
        <f>575145.27782-103285.28</f>
        <v>471859.99781999993</v>
      </c>
      <c r="R76" s="6">
        <f>618980.48228-102360.48</f>
        <v>516620.00228000002</v>
      </c>
      <c r="S76" s="6">
        <f>666502.23373-135402.23</f>
        <v>531100.00373</v>
      </c>
      <c r="T76" s="6">
        <f>720843.0943-136633.09</f>
        <v>584210.00430000003</v>
      </c>
      <c r="U76" s="6">
        <f t="shared" si="1"/>
        <v>3768952.6438899999</v>
      </c>
    </row>
    <row r="77" spans="1:21" s="7" customFormat="1" ht="159.75" hidden="1" customHeight="1" outlineLevel="1" x14ac:dyDescent="0.2">
      <c r="A77" s="75">
        <v>1</v>
      </c>
      <c r="B77" s="217" t="s">
        <v>8</v>
      </c>
      <c r="C77" s="228" t="s">
        <v>67</v>
      </c>
      <c r="D77" s="229" t="s">
        <v>283</v>
      </c>
      <c r="E77" s="92" t="s">
        <v>271</v>
      </c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27">
        <v>2250</v>
      </c>
      <c r="N77" s="6">
        <f t="shared" si="0"/>
        <v>2250</v>
      </c>
      <c r="O77" s="27">
        <v>0</v>
      </c>
      <c r="P77" s="27">
        <v>3700</v>
      </c>
      <c r="Q77" s="27">
        <f>1500-1500+2980.44</f>
        <v>2980.44</v>
      </c>
      <c r="R77" s="27">
        <v>0</v>
      </c>
      <c r="S77" s="27">
        <v>0</v>
      </c>
      <c r="T77" s="27">
        <v>0</v>
      </c>
      <c r="U77" s="6">
        <f t="shared" si="1"/>
        <v>8930.44</v>
      </c>
    </row>
    <row r="78" spans="1:21" s="7" customFormat="1" ht="45.75" hidden="1" customHeight="1" outlineLevel="1" x14ac:dyDescent="0.2">
      <c r="A78" s="8"/>
      <c r="B78" s="11"/>
      <c r="C78" s="112" t="s">
        <v>68</v>
      </c>
      <c r="D78" s="93" t="s">
        <v>69</v>
      </c>
      <c r="E78" s="393"/>
      <c r="F78" s="108" t="s">
        <v>11</v>
      </c>
      <c r="G78" s="22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2">
        <f>72927.1+5360+16000</f>
        <v>94287.1</v>
      </c>
      <c r="N78" s="22">
        <f t="shared" si="0"/>
        <v>94287.1</v>
      </c>
      <c r="O78" s="22">
        <f>87444.4+18000+9200+4235-2850.5+3000</f>
        <v>119028.9</v>
      </c>
      <c r="P78" s="22">
        <v>241085.13451</v>
      </c>
      <c r="Q78" s="22">
        <f>305345.93681-169945.94</f>
        <v>135399.99680999998</v>
      </c>
      <c r="R78" s="22">
        <f>394183.52027-241853.52</f>
        <v>152330.00026999999</v>
      </c>
      <c r="S78" s="22">
        <f>496402.59255-339402.59</f>
        <v>157000.00254999998</v>
      </c>
      <c r="T78" s="22">
        <f>612403.79011-439703.79</f>
        <v>172700.00010999996</v>
      </c>
      <c r="U78" s="22">
        <f t="shared" si="1"/>
        <v>1071831.1342499999</v>
      </c>
    </row>
    <row r="79" spans="1:21" s="7" customFormat="1" ht="44.25" hidden="1" customHeight="1" outlineLevel="1" x14ac:dyDescent="0.2">
      <c r="A79" s="8"/>
      <c r="B79" s="11"/>
      <c r="C79" s="114" t="s">
        <v>70</v>
      </c>
      <c r="D79" s="97" t="s">
        <v>69</v>
      </c>
      <c r="E79" s="393"/>
      <c r="F79" s="220" t="s">
        <v>11</v>
      </c>
      <c r="G79" s="6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6">
        <v>1000</v>
      </c>
      <c r="N79" s="6">
        <f t="shared" si="0"/>
        <v>1000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f t="shared" si="1"/>
        <v>1000</v>
      </c>
    </row>
    <row r="80" spans="1:21" s="7" customFormat="1" ht="122.25" customHeight="1" outlineLevel="1" x14ac:dyDescent="0.2">
      <c r="A80" s="34">
        <v>1</v>
      </c>
      <c r="B80" s="397" t="s">
        <v>8</v>
      </c>
      <c r="C80" s="312" t="s">
        <v>301</v>
      </c>
      <c r="D80" s="34" t="s">
        <v>71</v>
      </c>
      <c r="E80" s="379" t="s">
        <v>271</v>
      </c>
      <c r="F80" s="379" t="s">
        <v>299</v>
      </c>
      <c r="G80" s="6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6">
        <v>0</v>
      </c>
      <c r="N80" s="6">
        <f t="shared" si="0"/>
        <v>0</v>
      </c>
      <c r="O80" s="6">
        <f>150000-25055</f>
        <v>124945</v>
      </c>
      <c r="P80" s="6">
        <v>140000</v>
      </c>
      <c r="Q80" s="6">
        <f>150000-100000</f>
        <v>50000</v>
      </c>
      <c r="R80" s="38">
        <f>170000-100000+8000</f>
        <v>78000</v>
      </c>
      <c r="S80" s="6">
        <f>185000-100000</f>
        <v>85000</v>
      </c>
      <c r="T80" s="6">
        <f>200000-100000</f>
        <v>100000</v>
      </c>
      <c r="U80" s="38">
        <f t="shared" si="1"/>
        <v>577945</v>
      </c>
    </row>
    <row r="81" spans="1:21" s="7" customFormat="1" ht="44.25" hidden="1" customHeight="1" outlineLevel="1" x14ac:dyDescent="0.2">
      <c r="A81" s="367"/>
      <c r="B81" s="398"/>
      <c r="C81" s="14" t="s">
        <v>72</v>
      </c>
      <c r="D81" s="34" t="s">
        <v>73</v>
      </c>
      <c r="E81" s="367"/>
      <c r="F81" s="379" t="s">
        <v>11</v>
      </c>
      <c r="G81" s="6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6">
        <v>0</v>
      </c>
      <c r="N81" s="6">
        <f t="shared" si="0"/>
        <v>0</v>
      </c>
      <c r="O81" s="6">
        <v>0</v>
      </c>
      <c r="P81" s="6">
        <v>0</v>
      </c>
      <c r="Q81" s="6">
        <f>132000-77000</f>
        <v>55000</v>
      </c>
      <c r="R81" s="6">
        <f>140000-80000</f>
        <v>60000</v>
      </c>
      <c r="S81" s="6">
        <f>110000-10000</f>
        <v>100000</v>
      </c>
      <c r="T81" s="6">
        <f>125000-5000</f>
        <v>120000</v>
      </c>
      <c r="U81" s="6">
        <f t="shared" si="1"/>
        <v>335000</v>
      </c>
    </row>
    <row r="82" spans="1:21" s="7" customFormat="1" ht="38.25" hidden="1" customHeight="1" outlineLevel="1" x14ac:dyDescent="0.2">
      <c r="A82" s="367"/>
      <c r="B82" s="398"/>
      <c r="C82" s="14" t="s">
        <v>74</v>
      </c>
      <c r="D82" s="34">
        <v>2024</v>
      </c>
      <c r="E82" s="367"/>
      <c r="F82" s="379" t="s">
        <v>11</v>
      </c>
      <c r="G82" s="6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6">
        <v>0</v>
      </c>
      <c r="N82" s="6">
        <f t="shared" ref="N82:N146" si="3">G82+H82+I82+J82+K82+L82+M82</f>
        <v>0</v>
      </c>
      <c r="O82" s="6">
        <v>0</v>
      </c>
      <c r="P82" s="6">
        <v>2000</v>
      </c>
      <c r="Q82" s="6">
        <f>3000-3000</f>
        <v>0</v>
      </c>
      <c r="R82" s="6">
        <v>0</v>
      </c>
      <c r="S82" s="6">
        <v>0</v>
      </c>
      <c r="T82" s="6">
        <v>0</v>
      </c>
      <c r="U82" s="6">
        <f t="shared" ref="U82:U84" si="4">SUM(G82:T82)-N82</f>
        <v>2000</v>
      </c>
    </row>
    <row r="83" spans="1:21" s="7" customFormat="1" ht="46.5" hidden="1" customHeight="1" outlineLevel="1" x14ac:dyDescent="0.2">
      <c r="A83" s="367"/>
      <c r="B83" s="398"/>
      <c r="C83" s="14" t="s">
        <v>269</v>
      </c>
      <c r="D83" s="34">
        <v>2024</v>
      </c>
      <c r="E83" s="367"/>
      <c r="F83" s="379" t="s">
        <v>11</v>
      </c>
      <c r="G83" s="6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6">
        <v>0</v>
      </c>
      <c r="N83" s="6">
        <f t="shared" si="3"/>
        <v>0</v>
      </c>
      <c r="O83" s="6">
        <v>0</v>
      </c>
      <c r="P83" s="6">
        <v>15000</v>
      </c>
      <c r="Q83" s="6">
        <f>2000-2000</f>
        <v>0</v>
      </c>
      <c r="R83" s="6">
        <v>0</v>
      </c>
      <c r="S83" s="6">
        <v>0</v>
      </c>
      <c r="T83" s="6">
        <v>0</v>
      </c>
      <c r="U83" s="6">
        <f t="shared" si="4"/>
        <v>15000</v>
      </c>
    </row>
    <row r="84" spans="1:21" s="329" customFormat="1" ht="56.25" hidden="1" customHeight="1" outlineLevel="1" x14ac:dyDescent="0.2">
      <c r="A84" s="399"/>
      <c r="B84" s="400"/>
      <c r="C84" s="14" t="s">
        <v>253</v>
      </c>
      <c r="D84" s="34" t="s">
        <v>250</v>
      </c>
      <c r="E84" s="367"/>
      <c r="F84" s="379" t="s">
        <v>11</v>
      </c>
      <c r="G84" s="6"/>
      <c r="H84" s="9"/>
      <c r="I84" s="9"/>
      <c r="J84" s="9"/>
      <c r="K84" s="9"/>
      <c r="L84" s="9"/>
      <c r="M84" s="6"/>
      <c r="N84" s="6">
        <f t="shared" si="3"/>
        <v>0</v>
      </c>
      <c r="O84" s="6">
        <v>0</v>
      </c>
      <c r="P84" s="6">
        <v>0</v>
      </c>
      <c r="Q84" s="6">
        <f>19250-5950</f>
        <v>13300</v>
      </c>
      <c r="R84" s="6">
        <f>8900</f>
        <v>8900</v>
      </c>
      <c r="S84" s="6">
        <f>5300</f>
        <v>5300</v>
      </c>
      <c r="T84" s="6">
        <f>5500</f>
        <v>5500</v>
      </c>
      <c r="U84" s="6">
        <f t="shared" si="4"/>
        <v>33000</v>
      </c>
    </row>
    <row r="85" spans="1:21" s="7" customFormat="1" ht="81.75" customHeight="1" outlineLevel="1" x14ac:dyDescent="0.2">
      <c r="A85" s="442" t="s">
        <v>75</v>
      </c>
      <c r="B85" s="442"/>
      <c r="C85" s="401"/>
      <c r="D85" s="404"/>
      <c r="E85" s="367"/>
      <c r="F85" s="379" t="s">
        <v>299</v>
      </c>
      <c r="G85" s="146">
        <f t="shared" ref="G85:L85" si="5">SUM(G17:G83)-G44</f>
        <v>115838.47999999998</v>
      </c>
      <c r="H85" s="146">
        <f t="shared" si="5"/>
        <v>214504.09999999998</v>
      </c>
      <c r="I85" s="146">
        <f t="shared" si="5"/>
        <v>240425.5</v>
      </c>
      <c r="J85" s="146">
        <f t="shared" si="5"/>
        <v>295414.2</v>
      </c>
      <c r="K85" s="146">
        <f t="shared" si="5"/>
        <v>449477.26</v>
      </c>
      <c r="L85" s="146">
        <f t="shared" si="5"/>
        <v>628078.5</v>
      </c>
      <c r="M85" s="146">
        <f>SUM(M17:M83)-M44</f>
        <v>664788.29999999993</v>
      </c>
      <c r="N85" s="146">
        <f t="shared" ref="N85:U85" si="6">SUM(N17:N84)-N44</f>
        <v>2608526.3399999994</v>
      </c>
      <c r="O85" s="146">
        <f t="shared" si="6"/>
        <v>854868.20000000007</v>
      </c>
      <c r="P85" s="146">
        <f t="shared" si="6"/>
        <v>1049319.9861399999</v>
      </c>
      <c r="Q85" s="146">
        <f t="shared" si="6"/>
        <v>800931.76110999985</v>
      </c>
      <c r="R85" s="146">
        <f t="shared" si="6"/>
        <v>887903.61436000001</v>
      </c>
      <c r="S85" s="146">
        <f t="shared" si="6"/>
        <v>946132.16135999991</v>
      </c>
      <c r="T85" s="146">
        <f t="shared" si="6"/>
        <v>1043755.6748200001</v>
      </c>
      <c r="U85" s="146">
        <f t="shared" si="6"/>
        <v>8191437.7377900006</v>
      </c>
    </row>
    <row r="86" spans="1:21" s="7" customFormat="1" ht="45" hidden="1" customHeight="1" outlineLevel="1" x14ac:dyDescent="0.2">
      <c r="A86" s="425">
        <v>2</v>
      </c>
      <c r="B86" s="219" t="s">
        <v>76</v>
      </c>
      <c r="C86" s="117" t="s">
        <v>77</v>
      </c>
      <c r="D86" s="405" t="s">
        <v>10</v>
      </c>
      <c r="E86" s="10"/>
      <c r="F86" s="379" t="s">
        <v>11</v>
      </c>
      <c r="G86" s="6">
        <v>134514.32</v>
      </c>
      <c r="H86" s="6">
        <f>146683.2+8661.9</f>
        <v>155345.1</v>
      </c>
      <c r="I86" s="6">
        <v>209068.1</v>
      </c>
      <c r="J86" s="6">
        <v>224749.2</v>
      </c>
      <c r="K86" s="6">
        <v>310495.3</v>
      </c>
      <c r="L86" s="6">
        <f>24514+5642.2</f>
        <v>30156.2</v>
      </c>
      <c r="M86" s="6">
        <v>0</v>
      </c>
      <c r="N86" s="6">
        <f t="shared" si="3"/>
        <v>1064328.22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>SUM(G86:T86)-N86</f>
        <v>1064328.22</v>
      </c>
    </row>
    <row r="87" spans="1:21" s="7" customFormat="1" ht="48.75" hidden="1" customHeight="1" outlineLevel="1" x14ac:dyDescent="0.2">
      <c r="A87" s="426"/>
      <c r="B87" s="413"/>
      <c r="C87" s="115" t="s">
        <v>79</v>
      </c>
      <c r="D87" s="406" t="s">
        <v>25</v>
      </c>
      <c r="E87" s="10"/>
      <c r="F87" s="402" t="s">
        <v>11</v>
      </c>
      <c r="G87" s="222">
        <v>3000</v>
      </c>
      <c r="H87" s="222">
        <v>12000</v>
      </c>
      <c r="I87" s="222">
        <v>3745</v>
      </c>
      <c r="J87" s="222">
        <v>8100</v>
      </c>
      <c r="K87" s="222">
        <v>9720</v>
      </c>
      <c r="L87" s="222">
        <f>0+979.5</f>
        <v>979.5</v>
      </c>
      <c r="M87" s="222">
        <v>0</v>
      </c>
      <c r="N87" s="222">
        <f t="shared" si="3"/>
        <v>37544.5</v>
      </c>
      <c r="O87" s="222">
        <v>0</v>
      </c>
      <c r="P87" s="222">
        <v>0</v>
      </c>
      <c r="Q87" s="222">
        <v>0</v>
      </c>
      <c r="R87" s="222">
        <v>0</v>
      </c>
      <c r="S87" s="222">
        <v>0</v>
      </c>
      <c r="T87" s="222">
        <v>0</v>
      </c>
      <c r="U87" s="222">
        <f t="shared" ref="U87:U150" si="7">SUM(G87:T87)-N87</f>
        <v>37544.5</v>
      </c>
    </row>
    <row r="88" spans="1:21" s="91" customFormat="1" ht="54" customHeight="1" collapsed="1" x14ac:dyDescent="0.2">
      <c r="A88" s="426"/>
      <c r="B88" s="438" t="s">
        <v>76</v>
      </c>
      <c r="C88" s="333" t="s">
        <v>257</v>
      </c>
      <c r="D88" s="100" t="s">
        <v>302</v>
      </c>
      <c r="E88" s="464" t="s">
        <v>292</v>
      </c>
      <c r="F88" s="373" t="s">
        <v>11</v>
      </c>
      <c r="G88" s="336">
        <v>0</v>
      </c>
      <c r="H88" s="337">
        <f>498.2+2700</f>
        <v>3198.2</v>
      </c>
      <c r="I88" s="337">
        <v>0</v>
      </c>
      <c r="J88" s="337">
        <v>2200</v>
      </c>
      <c r="K88" s="337">
        <v>5500</v>
      </c>
      <c r="L88" s="337">
        <v>0</v>
      </c>
      <c r="M88" s="337">
        <v>0</v>
      </c>
      <c r="N88" s="396">
        <f t="shared" si="3"/>
        <v>10898.2</v>
      </c>
      <c r="O88" s="396">
        <v>0</v>
      </c>
      <c r="P88" s="396">
        <v>0</v>
      </c>
      <c r="Q88" s="396">
        <f>239.8+1650</f>
        <v>1889.8</v>
      </c>
      <c r="R88" s="396">
        <v>1400</v>
      </c>
      <c r="S88" s="396">
        <v>2457.5</v>
      </c>
      <c r="T88" s="396">
        <v>3357.5</v>
      </c>
      <c r="U88" s="396">
        <f t="shared" si="7"/>
        <v>20003</v>
      </c>
    </row>
    <row r="89" spans="1:21" s="7" customFormat="1" ht="59.25" hidden="1" customHeight="1" outlineLevel="1" x14ac:dyDescent="0.2">
      <c r="A89" s="393"/>
      <c r="B89" s="439"/>
      <c r="C89" s="338" t="s">
        <v>80</v>
      </c>
      <c r="D89" s="405" t="s">
        <v>25</v>
      </c>
      <c r="E89" s="465"/>
      <c r="F89" s="373" t="s">
        <v>11</v>
      </c>
      <c r="G89" s="337">
        <v>909</v>
      </c>
      <c r="H89" s="337">
        <v>1500</v>
      </c>
      <c r="I89" s="337">
        <v>1700</v>
      </c>
      <c r="J89" s="337">
        <v>1354.7</v>
      </c>
      <c r="K89" s="337">
        <v>1339.3</v>
      </c>
      <c r="L89" s="337">
        <f>0+564</f>
        <v>564</v>
      </c>
      <c r="M89" s="337">
        <v>0</v>
      </c>
      <c r="N89" s="337">
        <f t="shared" si="3"/>
        <v>7367</v>
      </c>
      <c r="O89" s="337">
        <v>0</v>
      </c>
      <c r="P89" s="337">
        <v>0</v>
      </c>
      <c r="Q89" s="337">
        <v>0</v>
      </c>
      <c r="R89" s="337">
        <v>0</v>
      </c>
      <c r="S89" s="337">
        <v>0</v>
      </c>
      <c r="T89" s="337">
        <v>0</v>
      </c>
      <c r="U89" s="337">
        <f t="shared" si="7"/>
        <v>7367</v>
      </c>
    </row>
    <row r="90" spans="1:21" s="7" customFormat="1" ht="86.25" hidden="1" customHeight="1" outlineLevel="1" x14ac:dyDescent="0.2">
      <c r="A90" s="393"/>
      <c r="B90" s="439"/>
      <c r="C90" s="338" t="s">
        <v>81</v>
      </c>
      <c r="D90" s="407" t="s">
        <v>25</v>
      </c>
      <c r="E90" s="465"/>
      <c r="F90" s="373" t="s">
        <v>11</v>
      </c>
      <c r="G90" s="336">
        <v>0</v>
      </c>
      <c r="H90" s="336">
        <v>0</v>
      </c>
      <c r="I90" s="336">
        <v>0</v>
      </c>
      <c r="J90" s="337">
        <v>12867</v>
      </c>
      <c r="K90" s="336">
        <v>0</v>
      </c>
      <c r="L90" s="336">
        <v>0</v>
      </c>
      <c r="M90" s="336">
        <v>16000</v>
      </c>
      <c r="N90" s="337">
        <f t="shared" si="3"/>
        <v>28867</v>
      </c>
      <c r="O90" s="336">
        <v>0</v>
      </c>
      <c r="P90" s="337">
        <v>0</v>
      </c>
      <c r="Q90" s="337">
        <v>0</v>
      </c>
      <c r="R90" s="337">
        <v>0</v>
      </c>
      <c r="S90" s="337">
        <v>0</v>
      </c>
      <c r="T90" s="337">
        <v>0</v>
      </c>
      <c r="U90" s="337">
        <f t="shared" si="7"/>
        <v>28867</v>
      </c>
    </row>
    <row r="91" spans="1:21" s="7" customFormat="1" ht="60.75" hidden="1" customHeight="1" outlineLevel="1" x14ac:dyDescent="0.2">
      <c r="A91" s="92"/>
      <c r="B91" s="439"/>
      <c r="C91" s="338" t="s">
        <v>82</v>
      </c>
      <c r="D91" s="407" t="s">
        <v>25</v>
      </c>
      <c r="E91" s="465"/>
      <c r="F91" s="373" t="s">
        <v>11</v>
      </c>
      <c r="G91" s="336">
        <v>0</v>
      </c>
      <c r="H91" s="337">
        <v>16000</v>
      </c>
      <c r="I91" s="336">
        <v>0</v>
      </c>
      <c r="J91" s="336">
        <v>0</v>
      </c>
      <c r="K91" s="336">
        <v>7218</v>
      </c>
      <c r="L91" s="336">
        <v>20000</v>
      </c>
      <c r="M91" s="336">
        <v>0</v>
      </c>
      <c r="N91" s="337">
        <f t="shared" si="3"/>
        <v>43218</v>
      </c>
      <c r="O91" s="336">
        <v>0</v>
      </c>
      <c r="P91" s="337">
        <v>0</v>
      </c>
      <c r="Q91" s="337">
        <v>0</v>
      </c>
      <c r="R91" s="337">
        <v>0</v>
      </c>
      <c r="S91" s="337">
        <v>0</v>
      </c>
      <c r="T91" s="337">
        <v>0</v>
      </c>
      <c r="U91" s="337">
        <f t="shared" si="7"/>
        <v>43218</v>
      </c>
    </row>
    <row r="92" spans="1:21" s="7" customFormat="1" ht="81.75" hidden="1" customHeight="1" outlineLevel="1" x14ac:dyDescent="0.2">
      <c r="A92" s="393"/>
      <c r="B92" s="439"/>
      <c r="C92" s="338" t="s">
        <v>215</v>
      </c>
      <c r="D92" s="407" t="s">
        <v>25</v>
      </c>
      <c r="E92" s="465"/>
      <c r="F92" s="373" t="s">
        <v>11</v>
      </c>
      <c r="G92" s="336">
        <v>0</v>
      </c>
      <c r="H92" s="337">
        <v>6000</v>
      </c>
      <c r="I92" s="336">
        <v>0</v>
      </c>
      <c r="J92" s="336">
        <v>8000</v>
      </c>
      <c r="K92" s="336">
        <v>0</v>
      </c>
      <c r="L92" s="336">
        <v>7042</v>
      </c>
      <c r="M92" s="336">
        <v>0</v>
      </c>
      <c r="N92" s="337">
        <f t="shared" si="3"/>
        <v>21042</v>
      </c>
      <c r="O92" s="336">
        <v>0</v>
      </c>
      <c r="P92" s="337">
        <v>0</v>
      </c>
      <c r="Q92" s="337">
        <v>0</v>
      </c>
      <c r="R92" s="337">
        <v>0</v>
      </c>
      <c r="S92" s="337">
        <v>0</v>
      </c>
      <c r="T92" s="337">
        <v>0</v>
      </c>
      <c r="U92" s="337">
        <f t="shared" si="7"/>
        <v>21042</v>
      </c>
    </row>
    <row r="93" spans="1:21" s="7" customFormat="1" ht="42" hidden="1" customHeight="1" outlineLevel="1" x14ac:dyDescent="0.2">
      <c r="A93" s="393"/>
      <c r="B93" s="439"/>
      <c r="C93" s="338" t="s">
        <v>83</v>
      </c>
      <c r="D93" s="383" t="s">
        <v>14</v>
      </c>
      <c r="E93" s="465"/>
      <c r="F93" s="373" t="s">
        <v>11</v>
      </c>
      <c r="G93" s="336">
        <v>0</v>
      </c>
      <c r="H93" s="337">
        <v>143</v>
      </c>
      <c r="I93" s="337">
        <v>195</v>
      </c>
      <c r="J93" s="337">
        <v>105</v>
      </c>
      <c r="K93" s="337">
        <v>105</v>
      </c>
      <c r="L93" s="337">
        <v>0</v>
      </c>
      <c r="M93" s="337">
        <v>0</v>
      </c>
      <c r="N93" s="337">
        <f t="shared" si="3"/>
        <v>548</v>
      </c>
      <c r="O93" s="337">
        <v>0</v>
      </c>
      <c r="P93" s="337">
        <v>0</v>
      </c>
      <c r="Q93" s="337">
        <v>0</v>
      </c>
      <c r="R93" s="337">
        <v>0</v>
      </c>
      <c r="S93" s="337">
        <v>0</v>
      </c>
      <c r="T93" s="337">
        <v>0</v>
      </c>
      <c r="U93" s="337">
        <f t="shared" si="7"/>
        <v>548</v>
      </c>
    </row>
    <row r="94" spans="1:21" s="7" customFormat="1" ht="48.75" hidden="1" customHeight="1" outlineLevel="1" x14ac:dyDescent="0.2">
      <c r="A94" s="393"/>
      <c r="B94" s="439"/>
      <c r="C94" s="338" t="s">
        <v>84</v>
      </c>
      <c r="D94" s="407" t="s">
        <v>14</v>
      </c>
      <c r="E94" s="465"/>
      <c r="F94" s="373" t="s">
        <v>11</v>
      </c>
      <c r="G94" s="336">
        <v>0</v>
      </c>
      <c r="H94" s="337">
        <v>1530.8</v>
      </c>
      <c r="I94" s="337">
        <v>490</v>
      </c>
      <c r="J94" s="337">
        <v>890</v>
      </c>
      <c r="K94" s="337">
        <v>0</v>
      </c>
      <c r="L94" s="337">
        <v>0</v>
      </c>
      <c r="M94" s="337">
        <v>0</v>
      </c>
      <c r="N94" s="337">
        <f t="shared" si="3"/>
        <v>2910.8</v>
      </c>
      <c r="O94" s="337">
        <v>0</v>
      </c>
      <c r="P94" s="337">
        <v>0</v>
      </c>
      <c r="Q94" s="337">
        <v>0</v>
      </c>
      <c r="R94" s="337">
        <v>0</v>
      </c>
      <c r="S94" s="337">
        <v>0</v>
      </c>
      <c r="T94" s="337">
        <v>0</v>
      </c>
      <c r="U94" s="337">
        <f t="shared" si="7"/>
        <v>2910.8</v>
      </c>
    </row>
    <row r="95" spans="1:21" s="7" customFormat="1" ht="44.25" hidden="1" customHeight="1" outlineLevel="1" x14ac:dyDescent="0.2">
      <c r="A95" s="393"/>
      <c r="B95" s="439"/>
      <c r="C95" s="338" t="s">
        <v>85</v>
      </c>
      <c r="D95" s="407" t="s">
        <v>25</v>
      </c>
      <c r="E95" s="465"/>
      <c r="F95" s="373" t="s">
        <v>11</v>
      </c>
      <c r="G95" s="336">
        <v>0</v>
      </c>
      <c r="H95" s="337">
        <v>8085</v>
      </c>
      <c r="I95" s="337">
        <v>290.89999999999998</v>
      </c>
      <c r="J95" s="337">
        <v>7367</v>
      </c>
      <c r="K95" s="337">
        <v>8499.5</v>
      </c>
      <c r="L95" s="337">
        <v>62100</v>
      </c>
      <c r="M95" s="337">
        <v>66000</v>
      </c>
      <c r="N95" s="337">
        <f t="shared" si="3"/>
        <v>152342.39999999999</v>
      </c>
      <c r="O95" s="337">
        <v>72600</v>
      </c>
      <c r="P95" s="337">
        <v>0</v>
      </c>
      <c r="Q95" s="337">
        <v>0</v>
      </c>
      <c r="R95" s="337">
        <v>0</v>
      </c>
      <c r="S95" s="337">
        <v>0</v>
      </c>
      <c r="T95" s="337">
        <v>0</v>
      </c>
      <c r="U95" s="337">
        <f t="shared" si="7"/>
        <v>224942.4</v>
      </c>
    </row>
    <row r="96" spans="1:21" s="7" customFormat="1" ht="43.5" hidden="1" customHeight="1" outlineLevel="1" x14ac:dyDescent="0.2">
      <c r="A96" s="393"/>
      <c r="B96" s="439"/>
      <c r="C96" s="342" t="s">
        <v>86</v>
      </c>
      <c r="D96" s="383" t="s">
        <v>14</v>
      </c>
      <c r="E96" s="465"/>
      <c r="F96" s="373" t="s">
        <v>11</v>
      </c>
      <c r="G96" s="336">
        <v>0</v>
      </c>
      <c r="H96" s="337">
        <f>552+228</f>
        <v>780</v>
      </c>
      <c r="I96" s="337">
        <f>1936+2784</f>
        <v>4720</v>
      </c>
      <c r="J96" s="337">
        <f>1936+2784</f>
        <v>4720</v>
      </c>
      <c r="K96" s="337">
        <v>4720</v>
      </c>
      <c r="L96" s="337">
        <v>0</v>
      </c>
      <c r="M96" s="337">
        <v>0</v>
      </c>
      <c r="N96" s="337">
        <f t="shared" si="3"/>
        <v>14940</v>
      </c>
      <c r="O96" s="337">
        <v>0</v>
      </c>
      <c r="P96" s="337">
        <v>0</v>
      </c>
      <c r="Q96" s="337">
        <v>0</v>
      </c>
      <c r="R96" s="337">
        <v>0</v>
      </c>
      <c r="S96" s="337">
        <v>0</v>
      </c>
      <c r="T96" s="337">
        <v>0</v>
      </c>
      <c r="U96" s="337">
        <f t="shared" si="7"/>
        <v>14940</v>
      </c>
    </row>
    <row r="97" spans="1:21" s="7" customFormat="1" ht="42" hidden="1" customHeight="1" outlineLevel="1" x14ac:dyDescent="0.2">
      <c r="A97" s="393"/>
      <c r="B97" s="439"/>
      <c r="C97" s="343" t="s">
        <v>87</v>
      </c>
      <c r="D97" s="405" t="s">
        <v>14</v>
      </c>
      <c r="E97" s="465"/>
      <c r="F97" s="373" t="s">
        <v>11</v>
      </c>
      <c r="G97" s="336">
        <v>0</v>
      </c>
      <c r="H97" s="337">
        <v>176</v>
      </c>
      <c r="I97" s="337">
        <v>500</v>
      </c>
      <c r="J97" s="337">
        <v>0</v>
      </c>
      <c r="K97" s="337">
        <v>0</v>
      </c>
      <c r="L97" s="337">
        <v>0</v>
      </c>
      <c r="M97" s="337">
        <v>0</v>
      </c>
      <c r="N97" s="337">
        <f t="shared" si="3"/>
        <v>676</v>
      </c>
      <c r="O97" s="337">
        <v>0</v>
      </c>
      <c r="P97" s="337">
        <v>0</v>
      </c>
      <c r="Q97" s="337">
        <v>0</v>
      </c>
      <c r="R97" s="337">
        <v>0</v>
      </c>
      <c r="S97" s="337">
        <v>0</v>
      </c>
      <c r="T97" s="337">
        <v>0</v>
      </c>
      <c r="U97" s="337">
        <f t="shared" si="7"/>
        <v>676</v>
      </c>
    </row>
    <row r="98" spans="1:21" s="7" customFormat="1" ht="102" hidden="1" customHeight="1" outlineLevel="1" x14ac:dyDescent="0.2">
      <c r="A98" s="393"/>
      <c r="B98" s="439"/>
      <c r="C98" s="338" t="s">
        <v>193</v>
      </c>
      <c r="D98" s="407">
        <v>2019</v>
      </c>
      <c r="E98" s="465"/>
      <c r="F98" s="373" t="s">
        <v>11</v>
      </c>
      <c r="G98" s="336">
        <v>0</v>
      </c>
      <c r="H98" s="337">
        <v>0</v>
      </c>
      <c r="I98" s="337">
        <v>0</v>
      </c>
      <c r="J98" s="337">
        <v>240</v>
      </c>
      <c r="K98" s="337">
        <v>0</v>
      </c>
      <c r="L98" s="337">
        <v>0</v>
      </c>
      <c r="M98" s="337">
        <v>0</v>
      </c>
      <c r="N98" s="337">
        <f t="shared" si="3"/>
        <v>240</v>
      </c>
      <c r="O98" s="337">
        <v>0</v>
      </c>
      <c r="P98" s="337">
        <v>0</v>
      </c>
      <c r="Q98" s="337">
        <v>0</v>
      </c>
      <c r="R98" s="337">
        <v>0</v>
      </c>
      <c r="S98" s="337">
        <v>0</v>
      </c>
      <c r="T98" s="337">
        <v>0</v>
      </c>
      <c r="U98" s="337">
        <f t="shared" si="7"/>
        <v>240</v>
      </c>
    </row>
    <row r="99" spans="1:21" s="7" customFormat="1" ht="42.75" hidden="1" customHeight="1" outlineLevel="1" x14ac:dyDescent="0.2">
      <c r="A99" s="393"/>
      <c r="B99" s="439"/>
      <c r="C99" s="338" t="s">
        <v>88</v>
      </c>
      <c r="D99" s="407">
        <v>2020</v>
      </c>
      <c r="E99" s="465"/>
      <c r="F99" s="373" t="s">
        <v>11</v>
      </c>
      <c r="G99" s="336">
        <v>0</v>
      </c>
      <c r="H99" s="337">
        <v>0</v>
      </c>
      <c r="I99" s="337">
        <v>0</v>
      </c>
      <c r="J99" s="337">
        <v>0</v>
      </c>
      <c r="K99" s="337">
        <v>1334.27</v>
      </c>
      <c r="L99" s="337">
        <v>0</v>
      </c>
      <c r="M99" s="337">
        <v>0</v>
      </c>
      <c r="N99" s="337">
        <f t="shared" si="3"/>
        <v>1334.27</v>
      </c>
      <c r="O99" s="337">
        <v>0</v>
      </c>
      <c r="P99" s="337">
        <v>0</v>
      </c>
      <c r="Q99" s="337">
        <v>0</v>
      </c>
      <c r="R99" s="337">
        <v>0</v>
      </c>
      <c r="S99" s="337">
        <v>0</v>
      </c>
      <c r="T99" s="337">
        <v>0</v>
      </c>
      <c r="U99" s="337">
        <f t="shared" si="7"/>
        <v>1334.27</v>
      </c>
    </row>
    <row r="100" spans="1:21" s="7" customFormat="1" ht="42.75" hidden="1" customHeight="1" outlineLevel="1" x14ac:dyDescent="0.2">
      <c r="A100" s="393"/>
      <c r="B100" s="439"/>
      <c r="C100" s="338" t="s">
        <v>89</v>
      </c>
      <c r="D100" s="407" t="s">
        <v>90</v>
      </c>
      <c r="E100" s="465"/>
      <c r="F100" s="373" t="s">
        <v>11</v>
      </c>
      <c r="G100" s="336">
        <v>0</v>
      </c>
      <c r="H100" s="337">
        <v>0</v>
      </c>
      <c r="I100" s="337">
        <v>0</v>
      </c>
      <c r="J100" s="337">
        <v>0</v>
      </c>
      <c r="K100" s="337">
        <v>3500</v>
      </c>
      <c r="L100" s="337">
        <f>4500</f>
        <v>4500</v>
      </c>
      <c r="M100" s="337">
        <f>0+4500</f>
        <v>4500</v>
      </c>
      <c r="N100" s="337">
        <f t="shared" si="3"/>
        <v>12500</v>
      </c>
      <c r="O100" s="337">
        <v>4800</v>
      </c>
      <c r="P100" s="337">
        <v>0</v>
      </c>
      <c r="Q100" s="337">
        <v>0</v>
      </c>
      <c r="R100" s="337">
        <v>0</v>
      </c>
      <c r="S100" s="337">
        <v>0</v>
      </c>
      <c r="T100" s="337">
        <v>0</v>
      </c>
      <c r="U100" s="337">
        <f t="shared" si="7"/>
        <v>17300</v>
      </c>
    </row>
    <row r="101" spans="1:21" s="7" customFormat="1" ht="88.5" hidden="1" customHeight="1" outlineLevel="1" x14ac:dyDescent="0.2">
      <c r="A101" s="393"/>
      <c r="B101" s="439"/>
      <c r="C101" s="338" t="s">
        <v>216</v>
      </c>
      <c r="D101" s="407">
        <v>2019</v>
      </c>
      <c r="E101" s="465"/>
      <c r="F101" s="373" t="s">
        <v>11</v>
      </c>
      <c r="G101" s="336">
        <v>0</v>
      </c>
      <c r="H101" s="337">
        <v>0</v>
      </c>
      <c r="I101" s="337">
        <v>0</v>
      </c>
      <c r="J101" s="337">
        <v>5200</v>
      </c>
      <c r="K101" s="337">
        <v>0</v>
      </c>
      <c r="L101" s="337">
        <v>0</v>
      </c>
      <c r="M101" s="337">
        <v>0</v>
      </c>
      <c r="N101" s="337">
        <f t="shared" si="3"/>
        <v>5200</v>
      </c>
      <c r="O101" s="337">
        <v>0</v>
      </c>
      <c r="P101" s="337">
        <v>0</v>
      </c>
      <c r="Q101" s="337">
        <v>0</v>
      </c>
      <c r="R101" s="337">
        <v>0</v>
      </c>
      <c r="S101" s="337">
        <v>0</v>
      </c>
      <c r="T101" s="337">
        <v>0</v>
      </c>
      <c r="U101" s="337">
        <f t="shared" si="7"/>
        <v>5200</v>
      </c>
    </row>
    <row r="102" spans="1:21" s="7" customFormat="1" ht="92.25" hidden="1" customHeight="1" outlineLevel="1" x14ac:dyDescent="0.2">
      <c r="A102" s="393"/>
      <c r="B102" s="439"/>
      <c r="C102" s="338" t="s">
        <v>91</v>
      </c>
      <c r="D102" s="383" t="s">
        <v>50</v>
      </c>
      <c r="E102" s="465"/>
      <c r="F102" s="373" t="s">
        <v>11</v>
      </c>
      <c r="G102" s="336">
        <v>0</v>
      </c>
      <c r="H102" s="337">
        <v>0</v>
      </c>
      <c r="I102" s="337">
        <v>0</v>
      </c>
      <c r="J102" s="337">
        <v>400</v>
      </c>
      <c r="K102" s="337">
        <v>0</v>
      </c>
      <c r="L102" s="337">
        <v>69.55</v>
      </c>
      <c r="M102" s="337">
        <v>0</v>
      </c>
      <c r="N102" s="337">
        <f t="shared" si="3"/>
        <v>469.55</v>
      </c>
      <c r="O102" s="337">
        <v>0</v>
      </c>
      <c r="P102" s="337">
        <v>0</v>
      </c>
      <c r="Q102" s="337">
        <v>0</v>
      </c>
      <c r="R102" s="337">
        <v>0</v>
      </c>
      <c r="S102" s="337">
        <v>0</v>
      </c>
      <c r="T102" s="337">
        <v>0</v>
      </c>
      <c r="U102" s="337">
        <f t="shared" si="7"/>
        <v>469.55</v>
      </c>
    </row>
    <row r="103" spans="1:21" s="7" customFormat="1" ht="46.5" hidden="1" customHeight="1" outlineLevel="1" x14ac:dyDescent="0.2">
      <c r="A103" s="393"/>
      <c r="B103" s="439"/>
      <c r="C103" s="338" t="s">
        <v>92</v>
      </c>
      <c r="D103" s="407" t="s">
        <v>56</v>
      </c>
      <c r="E103" s="465"/>
      <c r="F103" s="373" t="s">
        <v>11</v>
      </c>
      <c r="G103" s="336">
        <v>0</v>
      </c>
      <c r="H103" s="337">
        <v>0</v>
      </c>
      <c r="I103" s="337">
        <v>0</v>
      </c>
      <c r="J103" s="337">
        <v>30000</v>
      </c>
      <c r="K103" s="337">
        <v>0</v>
      </c>
      <c r="L103" s="337">
        <v>0</v>
      </c>
      <c r="M103" s="337">
        <v>0</v>
      </c>
      <c r="N103" s="337">
        <f t="shared" si="3"/>
        <v>30000</v>
      </c>
      <c r="O103" s="337">
        <v>0</v>
      </c>
      <c r="P103" s="337">
        <v>0</v>
      </c>
      <c r="Q103" s="337">
        <v>0</v>
      </c>
      <c r="R103" s="337">
        <v>0</v>
      </c>
      <c r="S103" s="337">
        <v>0</v>
      </c>
      <c r="T103" s="337">
        <v>0</v>
      </c>
      <c r="U103" s="337">
        <f t="shared" si="7"/>
        <v>30000</v>
      </c>
    </row>
    <row r="104" spans="1:21" s="7" customFormat="1" ht="76.5" hidden="1" customHeight="1" outlineLevel="1" x14ac:dyDescent="0.2">
      <c r="A104" s="393"/>
      <c r="B104" s="439"/>
      <c r="C104" s="338" t="s">
        <v>93</v>
      </c>
      <c r="D104" s="383" t="s">
        <v>50</v>
      </c>
      <c r="E104" s="465"/>
      <c r="F104" s="373" t="s">
        <v>11</v>
      </c>
      <c r="G104" s="336">
        <v>0</v>
      </c>
      <c r="H104" s="337">
        <v>0</v>
      </c>
      <c r="I104" s="337">
        <v>0</v>
      </c>
      <c r="J104" s="337">
        <v>7000</v>
      </c>
      <c r="K104" s="337">
        <v>13389</v>
      </c>
      <c r="L104" s="337">
        <f>0+4455</f>
        <v>4455</v>
      </c>
      <c r="M104" s="337">
        <f>0+2600+2000</f>
        <v>4600</v>
      </c>
      <c r="N104" s="337">
        <f t="shared" si="3"/>
        <v>29444</v>
      </c>
      <c r="O104" s="337">
        <v>0</v>
      </c>
      <c r="P104" s="337">
        <v>0</v>
      </c>
      <c r="Q104" s="337">
        <v>0</v>
      </c>
      <c r="R104" s="337">
        <v>0</v>
      </c>
      <c r="S104" s="337">
        <v>0</v>
      </c>
      <c r="T104" s="337">
        <v>0</v>
      </c>
      <c r="U104" s="337">
        <f t="shared" si="7"/>
        <v>29444</v>
      </c>
    </row>
    <row r="105" spans="1:21" s="7" customFormat="1" ht="101.25" hidden="1" customHeight="1" outlineLevel="1" x14ac:dyDescent="0.2">
      <c r="A105" s="393"/>
      <c r="B105" s="439"/>
      <c r="C105" s="338" t="s">
        <v>217</v>
      </c>
      <c r="D105" s="407" t="s">
        <v>90</v>
      </c>
      <c r="E105" s="465"/>
      <c r="F105" s="373" t="s">
        <v>11</v>
      </c>
      <c r="G105" s="336">
        <v>0</v>
      </c>
      <c r="H105" s="336">
        <v>0</v>
      </c>
      <c r="I105" s="336">
        <v>0</v>
      </c>
      <c r="J105" s="336">
        <v>0</v>
      </c>
      <c r="K105" s="337">
        <v>200</v>
      </c>
      <c r="L105" s="337">
        <v>97.64</v>
      </c>
      <c r="M105" s="337">
        <v>0</v>
      </c>
      <c r="N105" s="337">
        <f t="shared" si="3"/>
        <v>297.64</v>
      </c>
      <c r="O105" s="337">
        <v>0</v>
      </c>
      <c r="P105" s="337">
        <v>0</v>
      </c>
      <c r="Q105" s="337">
        <v>0</v>
      </c>
      <c r="R105" s="337">
        <v>0</v>
      </c>
      <c r="S105" s="337">
        <v>0</v>
      </c>
      <c r="T105" s="337">
        <v>0</v>
      </c>
      <c r="U105" s="337">
        <f t="shared" si="7"/>
        <v>297.64</v>
      </c>
    </row>
    <row r="106" spans="1:21" s="7" customFormat="1" ht="41.25" hidden="1" customHeight="1" outlineLevel="1" x14ac:dyDescent="0.2">
      <c r="A106" s="393"/>
      <c r="B106" s="439"/>
      <c r="C106" s="338" t="s">
        <v>94</v>
      </c>
      <c r="D106" s="407">
        <v>2020</v>
      </c>
      <c r="E106" s="465"/>
      <c r="F106" s="373" t="s">
        <v>11</v>
      </c>
      <c r="G106" s="336">
        <v>0</v>
      </c>
      <c r="H106" s="337">
        <v>0</v>
      </c>
      <c r="I106" s="337">
        <v>0</v>
      </c>
      <c r="J106" s="337">
        <v>0</v>
      </c>
      <c r="K106" s="337">
        <v>50000</v>
      </c>
      <c r="L106" s="337">
        <v>0</v>
      </c>
      <c r="M106" s="337">
        <v>0</v>
      </c>
      <c r="N106" s="337">
        <f t="shared" si="3"/>
        <v>50000</v>
      </c>
      <c r="O106" s="337">
        <v>0</v>
      </c>
      <c r="P106" s="337">
        <v>0</v>
      </c>
      <c r="Q106" s="337">
        <v>0</v>
      </c>
      <c r="R106" s="337">
        <v>0</v>
      </c>
      <c r="S106" s="337">
        <v>0</v>
      </c>
      <c r="T106" s="337">
        <v>0</v>
      </c>
      <c r="U106" s="337">
        <f t="shared" si="7"/>
        <v>50000</v>
      </c>
    </row>
    <row r="107" spans="1:21" s="7" customFormat="1" ht="36" hidden="1" customHeight="1" outlineLevel="1" x14ac:dyDescent="0.2">
      <c r="A107" s="393"/>
      <c r="B107" s="439"/>
      <c r="C107" s="338" t="s">
        <v>95</v>
      </c>
      <c r="D107" s="407">
        <v>2020</v>
      </c>
      <c r="E107" s="465"/>
      <c r="F107" s="373" t="s">
        <v>11</v>
      </c>
      <c r="G107" s="336">
        <v>0</v>
      </c>
      <c r="H107" s="337">
        <v>0</v>
      </c>
      <c r="I107" s="337">
        <v>0</v>
      </c>
      <c r="J107" s="337">
        <v>0</v>
      </c>
      <c r="K107" s="337">
        <v>690</v>
      </c>
      <c r="L107" s="337">
        <v>0</v>
      </c>
      <c r="M107" s="337">
        <v>0</v>
      </c>
      <c r="N107" s="337">
        <f t="shared" si="3"/>
        <v>690</v>
      </c>
      <c r="O107" s="337">
        <v>0</v>
      </c>
      <c r="P107" s="337">
        <v>0</v>
      </c>
      <c r="Q107" s="337">
        <v>0</v>
      </c>
      <c r="R107" s="337">
        <v>0</v>
      </c>
      <c r="S107" s="337">
        <v>0</v>
      </c>
      <c r="T107" s="337">
        <v>0</v>
      </c>
      <c r="U107" s="337">
        <f t="shared" si="7"/>
        <v>690</v>
      </c>
    </row>
    <row r="108" spans="1:21" s="7" customFormat="1" ht="67.5" hidden="1" customHeight="1" outlineLevel="1" x14ac:dyDescent="0.2">
      <c r="A108" s="92"/>
      <c r="B108" s="439"/>
      <c r="C108" s="342" t="s">
        <v>220</v>
      </c>
      <c r="D108" s="383">
        <v>2020</v>
      </c>
      <c r="E108" s="465"/>
      <c r="F108" s="373" t="s">
        <v>11</v>
      </c>
      <c r="G108" s="336">
        <v>0</v>
      </c>
      <c r="H108" s="337">
        <v>0</v>
      </c>
      <c r="I108" s="337">
        <v>0</v>
      </c>
      <c r="J108" s="337">
        <v>0</v>
      </c>
      <c r="K108" s="337">
        <v>900</v>
      </c>
      <c r="L108" s="337">
        <v>0</v>
      </c>
      <c r="M108" s="337">
        <v>0</v>
      </c>
      <c r="N108" s="337">
        <f t="shared" si="3"/>
        <v>900</v>
      </c>
      <c r="O108" s="337">
        <v>0</v>
      </c>
      <c r="P108" s="337">
        <v>0</v>
      </c>
      <c r="Q108" s="337">
        <v>0</v>
      </c>
      <c r="R108" s="337">
        <v>0</v>
      </c>
      <c r="S108" s="337">
        <v>0</v>
      </c>
      <c r="T108" s="337">
        <v>0</v>
      </c>
      <c r="U108" s="337">
        <f t="shared" si="7"/>
        <v>900</v>
      </c>
    </row>
    <row r="109" spans="1:21" s="7" customFormat="1" ht="104.25" hidden="1" customHeight="1" outlineLevel="1" x14ac:dyDescent="0.2">
      <c r="A109" s="33"/>
      <c r="B109" s="439"/>
      <c r="C109" s="343" t="s">
        <v>96</v>
      </c>
      <c r="D109" s="405" t="s">
        <v>90</v>
      </c>
      <c r="E109" s="465"/>
      <c r="F109" s="373" t="s">
        <v>11</v>
      </c>
      <c r="G109" s="336">
        <v>0</v>
      </c>
      <c r="H109" s="337">
        <v>0</v>
      </c>
      <c r="I109" s="337">
        <v>0</v>
      </c>
      <c r="J109" s="337">
        <v>0</v>
      </c>
      <c r="K109" s="337">
        <v>2334.5</v>
      </c>
      <c r="L109" s="337">
        <v>1892.3</v>
      </c>
      <c r="M109" s="337">
        <v>0</v>
      </c>
      <c r="N109" s="337">
        <f t="shared" si="3"/>
        <v>4226.8</v>
      </c>
      <c r="O109" s="337">
        <v>0</v>
      </c>
      <c r="P109" s="337">
        <v>0</v>
      </c>
      <c r="Q109" s="337">
        <v>0</v>
      </c>
      <c r="R109" s="337">
        <v>0</v>
      </c>
      <c r="S109" s="337">
        <v>0</v>
      </c>
      <c r="T109" s="337">
        <v>0</v>
      </c>
      <c r="U109" s="337">
        <f t="shared" si="7"/>
        <v>4226.8</v>
      </c>
    </row>
    <row r="110" spans="1:21" s="7" customFormat="1" ht="41.25" hidden="1" customHeight="1" outlineLevel="1" x14ac:dyDescent="0.2">
      <c r="A110" s="33"/>
      <c r="B110" s="439"/>
      <c r="C110" s="338" t="s">
        <v>97</v>
      </c>
      <c r="D110" s="407" t="s">
        <v>90</v>
      </c>
      <c r="E110" s="465"/>
      <c r="F110" s="373" t="s">
        <v>11</v>
      </c>
      <c r="G110" s="336">
        <v>0</v>
      </c>
      <c r="H110" s="337">
        <v>0</v>
      </c>
      <c r="I110" s="337">
        <v>0</v>
      </c>
      <c r="J110" s="337">
        <v>0</v>
      </c>
      <c r="K110" s="337">
        <v>1168.73</v>
      </c>
      <c r="L110" s="337">
        <f>0+320.8</f>
        <v>320.8</v>
      </c>
      <c r="M110" s="337">
        <v>0</v>
      </c>
      <c r="N110" s="337">
        <f t="shared" si="3"/>
        <v>1489.53</v>
      </c>
      <c r="O110" s="337">
        <v>0</v>
      </c>
      <c r="P110" s="337">
        <v>0</v>
      </c>
      <c r="Q110" s="337">
        <v>0</v>
      </c>
      <c r="R110" s="337">
        <v>0</v>
      </c>
      <c r="S110" s="337">
        <v>0</v>
      </c>
      <c r="T110" s="337">
        <v>0</v>
      </c>
      <c r="U110" s="337">
        <f t="shared" si="7"/>
        <v>1489.53</v>
      </c>
    </row>
    <row r="111" spans="1:21" s="7" customFormat="1" ht="96.75" hidden="1" customHeight="1" outlineLevel="1" x14ac:dyDescent="0.2">
      <c r="A111" s="33"/>
      <c r="B111" s="439"/>
      <c r="C111" s="338" t="s">
        <v>221</v>
      </c>
      <c r="D111" s="407" t="s">
        <v>98</v>
      </c>
      <c r="E111" s="465"/>
      <c r="F111" s="373" t="s">
        <v>11</v>
      </c>
      <c r="G111" s="336">
        <v>0</v>
      </c>
      <c r="H111" s="337">
        <v>0</v>
      </c>
      <c r="I111" s="337">
        <v>0</v>
      </c>
      <c r="J111" s="337">
        <v>0</v>
      </c>
      <c r="K111" s="337">
        <v>500</v>
      </c>
      <c r="L111" s="337">
        <v>500</v>
      </c>
      <c r="M111" s="337">
        <v>0</v>
      </c>
      <c r="N111" s="337">
        <f t="shared" si="3"/>
        <v>1000</v>
      </c>
      <c r="O111" s="337">
        <v>0</v>
      </c>
      <c r="P111" s="337">
        <v>0</v>
      </c>
      <c r="Q111" s="337">
        <v>0</v>
      </c>
      <c r="R111" s="337">
        <v>0</v>
      </c>
      <c r="S111" s="337">
        <v>0</v>
      </c>
      <c r="T111" s="337">
        <v>0</v>
      </c>
      <c r="U111" s="337">
        <f t="shared" si="7"/>
        <v>1000</v>
      </c>
    </row>
    <row r="112" spans="1:21" s="91" customFormat="1" ht="41.25" hidden="1" customHeight="1" outlineLevel="1" collapsed="1" x14ac:dyDescent="0.2">
      <c r="A112" s="33"/>
      <c r="B112" s="439"/>
      <c r="C112" s="338" t="s">
        <v>99</v>
      </c>
      <c r="D112" s="407" t="s">
        <v>255</v>
      </c>
      <c r="E112" s="465"/>
      <c r="F112" s="373" t="s">
        <v>11</v>
      </c>
      <c r="G112" s="336">
        <v>0</v>
      </c>
      <c r="H112" s="336">
        <v>0</v>
      </c>
      <c r="I112" s="336">
        <v>0</v>
      </c>
      <c r="J112" s="336">
        <v>0</v>
      </c>
      <c r="K112" s="336">
        <v>0</v>
      </c>
      <c r="L112" s="337">
        <v>5200</v>
      </c>
      <c r="M112" s="337">
        <f>2860-2860</f>
        <v>0</v>
      </c>
      <c r="N112" s="337">
        <f t="shared" si="3"/>
        <v>5200</v>
      </c>
      <c r="O112" s="337">
        <v>3150</v>
      </c>
      <c r="P112" s="337">
        <v>5500</v>
      </c>
      <c r="Q112" s="337">
        <v>0</v>
      </c>
      <c r="R112" s="337">
        <f>5600-5600</f>
        <v>0</v>
      </c>
      <c r="S112" s="337">
        <v>0</v>
      </c>
      <c r="T112" s="337">
        <v>0</v>
      </c>
      <c r="U112" s="337">
        <f t="shared" si="7"/>
        <v>13850</v>
      </c>
    </row>
    <row r="113" spans="1:21" s="7" customFormat="1" ht="48" hidden="1" customHeight="1" outlineLevel="1" x14ac:dyDescent="0.2">
      <c r="A113" s="33"/>
      <c r="B113" s="439"/>
      <c r="C113" s="338" t="s">
        <v>100</v>
      </c>
      <c r="D113" s="383" t="s">
        <v>59</v>
      </c>
      <c r="E113" s="465"/>
      <c r="F113" s="373" t="s">
        <v>11</v>
      </c>
      <c r="G113" s="336">
        <v>0</v>
      </c>
      <c r="H113" s="337">
        <v>0</v>
      </c>
      <c r="I113" s="337">
        <v>0</v>
      </c>
      <c r="J113" s="337">
        <v>0</v>
      </c>
      <c r="K113" s="337">
        <v>0</v>
      </c>
      <c r="L113" s="337">
        <v>2300</v>
      </c>
      <c r="M113" s="337">
        <v>0</v>
      </c>
      <c r="N113" s="337">
        <f t="shared" si="3"/>
        <v>2300</v>
      </c>
      <c r="O113" s="337">
        <v>2800</v>
      </c>
      <c r="P113" s="337">
        <v>0</v>
      </c>
      <c r="Q113" s="337">
        <v>0</v>
      </c>
      <c r="R113" s="337">
        <v>0</v>
      </c>
      <c r="S113" s="337">
        <v>0</v>
      </c>
      <c r="T113" s="337">
        <v>0</v>
      </c>
      <c r="U113" s="337">
        <f t="shared" si="7"/>
        <v>5100</v>
      </c>
    </row>
    <row r="114" spans="1:21" s="7" customFormat="1" ht="63" hidden="1" customHeight="1" outlineLevel="1" x14ac:dyDescent="0.2">
      <c r="A114" s="33"/>
      <c r="B114" s="439"/>
      <c r="C114" s="338" t="s">
        <v>102</v>
      </c>
      <c r="D114" s="407" t="s">
        <v>59</v>
      </c>
      <c r="E114" s="465"/>
      <c r="F114" s="373" t="s">
        <v>11</v>
      </c>
      <c r="G114" s="336">
        <v>0</v>
      </c>
      <c r="H114" s="336">
        <v>0</v>
      </c>
      <c r="I114" s="336">
        <v>0</v>
      </c>
      <c r="J114" s="336">
        <v>0</v>
      </c>
      <c r="K114" s="336">
        <v>0</v>
      </c>
      <c r="L114" s="337">
        <v>24900</v>
      </c>
      <c r="M114" s="337">
        <f>27309.5-27309.5</f>
        <v>0</v>
      </c>
      <c r="N114" s="337">
        <f t="shared" si="3"/>
        <v>24900</v>
      </c>
      <c r="O114" s="337">
        <v>0</v>
      </c>
      <c r="P114" s="337">
        <v>0</v>
      </c>
      <c r="Q114" s="337">
        <v>0</v>
      </c>
      <c r="R114" s="337">
        <v>0</v>
      </c>
      <c r="S114" s="337">
        <v>0</v>
      </c>
      <c r="T114" s="337">
        <v>0</v>
      </c>
      <c r="U114" s="337">
        <f t="shared" si="7"/>
        <v>24900</v>
      </c>
    </row>
    <row r="115" spans="1:21" s="7" customFormat="1" ht="44.25" hidden="1" customHeight="1" outlineLevel="1" x14ac:dyDescent="0.2">
      <c r="A115" s="33"/>
      <c r="B115" s="439"/>
      <c r="C115" s="338" t="s">
        <v>103</v>
      </c>
      <c r="D115" s="407" t="s">
        <v>59</v>
      </c>
      <c r="E115" s="465"/>
      <c r="F115" s="373" t="s">
        <v>11</v>
      </c>
      <c r="G115" s="336">
        <v>0</v>
      </c>
      <c r="H115" s="336">
        <v>0</v>
      </c>
      <c r="I115" s="336">
        <v>0</v>
      </c>
      <c r="J115" s="336">
        <v>0</v>
      </c>
      <c r="K115" s="336">
        <v>0</v>
      </c>
      <c r="L115" s="337">
        <v>1000</v>
      </c>
      <c r="M115" s="337">
        <v>0</v>
      </c>
      <c r="N115" s="337">
        <f t="shared" si="3"/>
        <v>1000</v>
      </c>
      <c r="O115" s="337">
        <v>0</v>
      </c>
      <c r="P115" s="337">
        <v>0</v>
      </c>
      <c r="Q115" s="337">
        <v>0</v>
      </c>
      <c r="R115" s="337">
        <v>0</v>
      </c>
      <c r="S115" s="337">
        <v>0</v>
      </c>
      <c r="T115" s="337">
        <v>0</v>
      </c>
      <c r="U115" s="337">
        <f t="shared" si="7"/>
        <v>1000</v>
      </c>
    </row>
    <row r="116" spans="1:21" s="7" customFormat="1" ht="40.5" hidden="1" customHeight="1" outlineLevel="1" collapsed="1" x14ac:dyDescent="0.2">
      <c r="A116" s="33"/>
      <c r="B116" s="439"/>
      <c r="C116" s="338" t="s">
        <v>104</v>
      </c>
      <c r="D116" s="407" t="s">
        <v>59</v>
      </c>
      <c r="E116" s="465"/>
      <c r="F116" s="373" t="s">
        <v>11</v>
      </c>
      <c r="G116" s="336">
        <v>0</v>
      </c>
      <c r="H116" s="336">
        <v>0</v>
      </c>
      <c r="I116" s="336">
        <v>0</v>
      </c>
      <c r="J116" s="336">
        <v>0</v>
      </c>
      <c r="K116" s="336">
        <v>0</v>
      </c>
      <c r="L116" s="337">
        <v>425000</v>
      </c>
      <c r="M116" s="337">
        <v>510000</v>
      </c>
      <c r="N116" s="337">
        <f t="shared" si="3"/>
        <v>935000</v>
      </c>
      <c r="O116" s="337">
        <f>225000-14520</f>
        <v>210480</v>
      </c>
      <c r="P116" s="337">
        <v>0</v>
      </c>
      <c r="Q116" s="337">
        <f>250000-250000</f>
        <v>0</v>
      </c>
      <c r="R116" s="337">
        <f>264500-264500</f>
        <v>0</v>
      </c>
      <c r="S116" s="337">
        <f>300000-300000</f>
        <v>0</v>
      </c>
      <c r="T116" s="337">
        <f>317400-317400</f>
        <v>0</v>
      </c>
      <c r="U116" s="337">
        <f t="shared" si="7"/>
        <v>1145480</v>
      </c>
    </row>
    <row r="117" spans="1:21" s="7" customFormat="1" ht="46.5" hidden="1" customHeight="1" outlineLevel="1" x14ac:dyDescent="0.2">
      <c r="A117" s="33"/>
      <c r="B117" s="439"/>
      <c r="C117" s="338" t="s">
        <v>105</v>
      </c>
      <c r="D117" s="407" t="s">
        <v>59</v>
      </c>
      <c r="E117" s="465"/>
      <c r="F117" s="373" t="s">
        <v>11</v>
      </c>
      <c r="G117" s="336">
        <v>0</v>
      </c>
      <c r="H117" s="336">
        <v>0</v>
      </c>
      <c r="I117" s="336">
        <v>0</v>
      </c>
      <c r="J117" s="336">
        <v>0</v>
      </c>
      <c r="K117" s="336">
        <v>0</v>
      </c>
      <c r="L117" s="337">
        <v>0</v>
      </c>
      <c r="M117" s="337">
        <v>400</v>
      </c>
      <c r="N117" s="337">
        <f t="shared" si="3"/>
        <v>400</v>
      </c>
      <c r="O117" s="337">
        <v>0</v>
      </c>
      <c r="P117" s="337">
        <v>0</v>
      </c>
      <c r="Q117" s="337">
        <v>0</v>
      </c>
      <c r="R117" s="337">
        <v>0</v>
      </c>
      <c r="S117" s="337">
        <v>0</v>
      </c>
      <c r="T117" s="337">
        <v>0</v>
      </c>
      <c r="U117" s="337">
        <f t="shared" si="7"/>
        <v>400</v>
      </c>
    </row>
    <row r="118" spans="1:21" s="7" customFormat="1" ht="48" hidden="1" customHeight="1" outlineLevel="1" x14ac:dyDescent="0.2">
      <c r="A118" s="33"/>
      <c r="B118" s="439"/>
      <c r="C118" s="338" t="s">
        <v>208</v>
      </c>
      <c r="D118" s="407" t="s">
        <v>59</v>
      </c>
      <c r="E118" s="465"/>
      <c r="F118" s="373" t="s">
        <v>11</v>
      </c>
      <c r="G118" s="336">
        <v>0</v>
      </c>
      <c r="H118" s="336">
        <v>0</v>
      </c>
      <c r="I118" s="336">
        <v>0</v>
      </c>
      <c r="J118" s="336">
        <v>0</v>
      </c>
      <c r="K118" s="336">
        <v>0</v>
      </c>
      <c r="L118" s="337">
        <v>0</v>
      </c>
      <c r="M118" s="337">
        <v>300</v>
      </c>
      <c r="N118" s="337">
        <f t="shared" si="3"/>
        <v>300</v>
      </c>
      <c r="O118" s="337">
        <v>0</v>
      </c>
      <c r="P118" s="337">
        <v>0</v>
      </c>
      <c r="Q118" s="337">
        <v>0</v>
      </c>
      <c r="R118" s="337">
        <v>0</v>
      </c>
      <c r="S118" s="337">
        <v>0</v>
      </c>
      <c r="T118" s="337">
        <v>0</v>
      </c>
      <c r="U118" s="337">
        <f t="shared" si="7"/>
        <v>300</v>
      </c>
    </row>
    <row r="119" spans="1:21" s="7" customFormat="1" ht="47.25" hidden="1" customHeight="1" outlineLevel="1" x14ac:dyDescent="0.2">
      <c r="A119" s="33"/>
      <c r="B119" s="439"/>
      <c r="C119" s="338" t="s">
        <v>211</v>
      </c>
      <c r="D119" s="407" t="s">
        <v>59</v>
      </c>
      <c r="E119" s="465"/>
      <c r="F119" s="373" t="s">
        <v>11</v>
      </c>
      <c r="G119" s="336">
        <v>0</v>
      </c>
      <c r="H119" s="336">
        <v>0</v>
      </c>
      <c r="I119" s="336">
        <v>0</v>
      </c>
      <c r="J119" s="336">
        <v>0</v>
      </c>
      <c r="K119" s="336">
        <v>0</v>
      </c>
      <c r="L119" s="337">
        <v>0</v>
      </c>
      <c r="M119" s="337">
        <v>200</v>
      </c>
      <c r="N119" s="337">
        <f t="shared" si="3"/>
        <v>200</v>
      </c>
      <c r="O119" s="337">
        <v>0</v>
      </c>
      <c r="P119" s="337">
        <v>0</v>
      </c>
      <c r="Q119" s="337">
        <v>0</v>
      </c>
      <c r="R119" s="337">
        <v>0</v>
      </c>
      <c r="S119" s="337">
        <v>0</v>
      </c>
      <c r="T119" s="337">
        <v>0</v>
      </c>
      <c r="U119" s="337">
        <f t="shared" si="7"/>
        <v>200</v>
      </c>
    </row>
    <row r="120" spans="1:21" s="7" customFormat="1" ht="44.25" hidden="1" customHeight="1" outlineLevel="1" x14ac:dyDescent="0.2">
      <c r="A120" s="33"/>
      <c r="B120" s="439"/>
      <c r="C120" s="338" t="s">
        <v>194</v>
      </c>
      <c r="D120" s="406" t="s">
        <v>59</v>
      </c>
      <c r="E120" s="465"/>
      <c r="F120" s="373" t="s">
        <v>11</v>
      </c>
      <c r="G120" s="336">
        <v>0</v>
      </c>
      <c r="H120" s="336">
        <v>0</v>
      </c>
      <c r="I120" s="336">
        <v>0</v>
      </c>
      <c r="J120" s="336">
        <v>0</v>
      </c>
      <c r="K120" s="336">
        <v>0</v>
      </c>
      <c r="L120" s="337">
        <v>0</v>
      </c>
      <c r="M120" s="337">
        <v>120</v>
      </c>
      <c r="N120" s="337">
        <f t="shared" si="3"/>
        <v>120</v>
      </c>
      <c r="O120" s="337">
        <v>0</v>
      </c>
      <c r="P120" s="337">
        <v>0</v>
      </c>
      <c r="Q120" s="337">
        <v>0</v>
      </c>
      <c r="R120" s="337">
        <v>0</v>
      </c>
      <c r="S120" s="337">
        <v>0</v>
      </c>
      <c r="T120" s="337">
        <v>0</v>
      </c>
      <c r="U120" s="337">
        <f t="shared" si="7"/>
        <v>120</v>
      </c>
    </row>
    <row r="121" spans="1:21" s="7" customFormat="1" ht="45.75" hidden="1" customHeight="1" outlineLevel="1" x14ac:dyDescent="0.2">
      <c r="A121" s="33"/>
      <c r="B121" s="439"/>
      <c r="C121" s="338" t="s">
        <v>195</v>
      </c>
      <c r="D121" s="100" t="s">
        <v>59</v>
      </c>
      <c r="E121" s="465"/>
      <c r="F121" s="373" t="s">
        <v>11</v>
      </c>
      <c r="G121" s="336">
        <v>0</v>
      </c>
      <c r="H121" s="336">
        <v>0</v>
      </c>
      <c r="I121" s="336">
        <v>0</v>
      </c>
      <c r="J121" s="336">
        <v>0</v>
      </c>
      <c r="K121" s="336">
        <v>0</v>
      </c>
      <c r="L121" s="337">
        <v>0</v>
      </c>
      <c r="M121" s="337">
        <v>135</v>
      </c>
      <c r="N121" s="337">
        <f t="shared" si="3"/>
        <v>135</v>
      </c>
      <c r="O121" s="337">
        <v>0</v>
      </c>
      <c r="P121" s="337">
        <v>0</v>
      </c>
      <c r="Q121" s="337">
        <v>0</v>
      </c>
      <c r="R121" s="337">
        <v>0</v>
      </c>
      <c r="S121" s="337">
        <v>0</v>
      </c>
      <c r="T121" s="337">
        <v>0</v>
      </c>
      <c r="U121" s="337">
        <f t="shared" si="7"/>
        <v>135</v>
      </c>
    </row>
    <row r="122" spans="1:21" s="7" customFormat="1" ht="48" hidden="1" customHeight="1" outlineLevel="1" x14ac:dyDescent="0.2">
      <c r="A122" s="33"/>
      <c r="B122" s="439"/>
      <c r="C122" s="338" t="s">
        <v>196</v>
      </c>
      <c r="D122" s="407" t="s">
        <v>59</v>
      </c>
      <c r="E122" s="465"/>
      <c r="F122" s="373" t="s">
        <v>11</v>
      </c>
      <c r="G122" s="336">
        <v>0</v>
      </c>
      <c r="H122" s="336">
        <v>0</v>
      </c>
      <c r="I122" s="336">
        <v>0</v>
      </c>
      <c r="J122" s="336">
        <v>0</v>
      </c>
      <c r="K122" s="336">
        <v>0</v>
      </c>
      <c r="L122" s="337">
        <v>0</v>
      </c>
      <c r="M122" s="337">
        <v>150</v>
      </c>
      <c r="N122" s="337">
        <f t="shared" si="3"/>
        <v>150</v>
      </c>
      <c r="O122" s="337">
        <v>0</v>
      </c>
      <c r="P122" s="337">
        <v>0</v>
      </c>
      <c r="Q122" s="337">
        <v>0</v>
      </c>
      <c r="R122" s="337">
        <v>0</v>
      </c>
      <c r="S122" s="337">
        <v>0</v>
      </c>
      <c r="T122" s="337">
        <v>0</v>
      </c>
      <c r="U122" s="337">
        <f t="shared" si="7"/>
        <v>150</v>
      </c>
    </row>
    <row r="123" spans="1:21" s="7" customFormat="1" ht="46.5" hidden="1" customHeight="1" outlineLevel="1" x14ac:dyDescent="0.2">
      <c r="A123" s="33"/>
      <c r="B123" s="439"/>
      <c r="C123" s="342" t="s">
        <v>106</v>
      </c>
      <c r="D123" s="383" t="s">
        <v>59</v>
      </c>
      <c r="E123" s="465"/>
      <c r="F123" s="373" t="s">
        <v>11</v>
      </c>
      <c r="G123" s="336">
        <v>0</v>
      </c>
      <c r="H123" s="336">
        <v>0</v>
      </c>
      <c r="I123" s="336">
        <v>0</v>
      </c>
      <c r="J123" s="336">
        <v>0</v>
      </c>
      <c r="K123" s="336">
        <v>0</v>
      </c>
      <c r="L123" s="337">
        <v>0</v>
      </c>
      <c r="M123" s="337">
        <v>320</v>
      </c>
      <c r="N123" s="337">
        <f t="shared" si="3"/>
        <v>320</v>
      </c>
      <c r="O123" s="337">
        <v>0</v>
      </c>
      <c r="P123" s="337">
        <v>0</v>
      </c>
      <c r="Q123" s="337">
        <v>0</v>
      </c>
      <c r="R123" s="337">
        <v>0</v>
      </c>
      <c r="S123" s="337">
        <v>0</v>
      </c>
      <c r="T123" s="337">
        <v>0</v>
      </c>
      <c r="U123" s="337">
        <f t="shared" si="7"/>
        <v>320</v>
      </c>
    </row>
    <row r="124" spans="1:21" s="7" customFormat="1" ht="56.25" hidden="1" customHeight="1" outlineLevel="1" x14ac:dyDescent="0.2">
      <c r="A124" s="33"/>
      <c r="B124" s="439"/>
      <c r="C124" s="343" t="s">
        <v>107</v>
      </c>
      <c r="D124" s="405" t="s">
        <v>59</v>
      </c>
      <c r="E124" s="465"/>
      <c r="F124" s="373" t="s">
        <v>11</v>
      </c>
      <c r="G124" s="336">
        <v>0</v>
      </c>
      <c r="H124" s="336">
        <v>0</v>
      </c>
      <c r="I124" s="336">
        <v>0</v>
      </c>
      <c r="J124" s="336">
        <v>0</v>
      </c>
      <c r="K124" s="336">
        <v>0</v>
      </c>
      <c r="L124" s="337">
        <v>500</v>
      </c>
      <c r="M124" s="337">
        <v>0</v>
      </c>
      <c r="N124" s="337">
        <f t="shared" si="3"/>
        <v>500</v>
      </c>
      <c r="O124" s="337">
        <v>0</v>
      </c>
      <c r="P124" s="337">
        <v>0</v>
      </c>
      <c r="Q124" s="337">
        <v>0</v>
      </c>
      <c r="R124" s="337">
        <v>0</v>
      </c>
      <c r="S124" s="337">
        <v>0</v>
      </c>
      <c r="T124" s="337">
        <v>0</v>
      </c>
      <c r="U124" s="337">
        <f t="shared" si="7"/>
        <v>500</v>
      </c>
    </row>
    <row r="125" spans="1:21" s="7" customFormat="1" ht="50.25" hidden="1" customHeight="1" outlineLevel="1" x14ac:dyDescent="0.2">
      <c r="A125" s="33"/>
      <c r="B125" s="439"/>
      <c r="C125" s="338" t="s">
        <v>108</v>
      </c>
      <c r="D125" s="407" t="s">
        <v>59</v>
      </c>
      <c r="E125" s="465"/>
      <c r="F125" s="373" t="s">
        <v>11</v>
      </c>
      <c r="G125" s="336">
        <v>0</v>
      </c>
      <c r="H125" s="336">
        <v>0</v>
      </c>
      <c r="I125" s="336">
        <v>0</v>
      </c>
      <c r="J125" s="336">
        <v>0</v>
      </c>
      <c r="K125" s="336">
        <v>0</v>
      </c>
      <c r="L125" s="337">
        <v>0</v>
      </c>
      <c r="M125" s="337">
        <v>500</v>
      </c>
      <c r="N125" s="337">
        <f t="shared" si="3"/>
        <v>500</v>
      </c>
      <c r="O125" s="337">
        <v>0</v>
      </c>
      <c r="P125" s="337">
        <v>0</v>
      </c>
      <c r="Q125" s="337">
        <v>0</v>
      </c>
      <c r="R125" s="337">
        <v>0</v>
      </c>
      <c r="S125" s="337">
        <v>0</v>
      </c>
      <c r="T125" s="337">
        <v>0</v>
      </c>
      <c r="U125" s="337">
        <f t="shared" si="7"/>
        <v>500</v>
      </c>
    </row>
    <row r="126" spans="1:21" s="7" customFormat="1" ht="48" hidden="1" customHeight="1" outlineLevel="1" x14ac:dyDescent="0.2">
      <c r="A126" s="76"/>
      <c r="B126" s="439"/>
      <c r="C126" s="338" t="s">
        <v>109</v>
      </c>
      <c r="D126" s="407" t="s">
        <v>59</v>
      </c>
      <c r="E126" s="465"/>
      <c r="F126" s="373" t="s">
        <v>11</v>
      </c>
      <c r="G126" s="336">
        <v>0</v>
      </c>
      <c r="H126" s="336">
        <v>0</v>
      </c>
      <c r="I126" s="336">
        <v>0</v>
      </c>
      <c r="J126" s="336">
        <v>0</v>
      </c>
      <c r="K126" s="336">
        <v>0</v>
      </c>
      <c r="L126" s="337">
        <v>410</v>
      </c>
      <c r="M126" s="337">
        <v>0</v>
      </c>
      <c r="N126" s="337">
        <f t="shared" si="3"/>
        <v>410</v>
      </c>
      <c r="O126" s="337">
        <v>0</v>
      </c>
      <c r="P126" s="337">
        <v>0</v>
      </c>
      <c r="Q126" s="337">
        <v>0</v>
      </c>
      <c r="R126" s="337">
        <v>0</v>
      </c>
      <c r="S126" s="337">
        <v>0</v>
      </c>
      <c r="T126" s="337">
        <v>0</v>
      </c>
      <c r="U126" s="337">
        <f t="shared" si="7"/>
        <v>410</v>
      </c>
    </row>
    <row r="127" spans="1:21" s="7" customFormat="1" ht="39.75" hidden="1" customHeight="1" outlineLevel="1" x14ac:dyDescent="0.2">
      <c r="A127" s="33"/>
      <c r="B127" s="439"/>
      <c r="C127" s="338" t="s">
        <v>110</v>
      </c>
      <c r="D127" s="407" t="s">
        <v>59</v>
      </c>
      <c r="E127" s="465"/>
      <c r="F127" s="373" t="s">
        <v>11</v>
      </c>
      <c r="G127" s="336">
        <v>0</v>
      </c>
      <c r="H127" s="336">
        <v>0</v>
      </c>
      <c r="I127" s="336">
        <v>0</v>
      </c>
      <c r="J127" s="336">
        <v>0</v>
      </c>
      <c r="K127" s="336">
        <v>0</v>
      </c>
      <c r="L127" s="337">
        <v>0</v>
      </c>
      <c r="M127" s="337">
        <v>0</v>
      </c>
      <c r="N127" s="337">
        <f t="shared" si="3"/>
        <v>0</v>
      </c>
      <c r="O127" s="337">
        <v>15000</v>
      </c>
      <c r="P127" s="337">
        <v>0</v>
      </c>
      <c r="Q127" s="337">
        <v>0</v>
      </c>
      <c r="R127" s="337">
        <v>0</v>
      </c>
      <c r="S127" s="337">
        <v>0</v>
      </c>
      <c r="T127" s="337">
        <v>0</v>
      </c>
      <c r="U127" s="337">
        <f t="shared" si="7"/>
        <v>15000</v>
      </c>
    </row>
    <row r="128" spans="1:21" s="7" customFormat="1" ht="47.25" hidden="1" customHeight="1" outlineLevel="1" x14ac:dyDescent="0.2">
      <c r="A128" s="33"/>
      <c r="B128" s="439"/>
      <c r="C128" s="338" t="s">
        <v>111</v>
      </c>
      <c r="D128" s="407" t="s">
        <v>59</v>
      </c>
      <c r="E128" s="465"/>
      <c r="F128" s="373" t="s">
        <v>11</v>
      </c>
      <c r="G128" s="336">
        <v>0</v>
      </c>
      <c r="H128" s="336">
        <v>0</v>
      </c>
      <c r="I128" s="336">
        <v>0</v>
      </c>
      <c r="J128" s="336">
        <v>0</v>
      </c>
      <c r="K128" s="336">
        <v>0</v>
      </c>
      <c r="L128" s="337">
        <v>0</v>
      </c>
      <c r="M128" s="337">
        <v>0</v>
      </c>
      <c r="N128" s="337">
        <f t="shared" si="3"/>
        <v>0</v>
      </c>
      <c r="O128" s="337">
        <v>3400</v>
      </c>
      <c r="P128" s="337">
        <v>0</v>
      </c>
      <c r="Q128" s="337">
        <v>0</v>
      </c>
      <c r="R128" s="337">
        <v>0</v>
      </c>
      <c r="S128" s="337">
        <v>0</v>
      </c>
      <c r="T128" s="337">
        <v>0</v>
      </c>
      <c r="U128" s="337">
        <f t="shared" si="7"/>
        <v>3400</v>
      </c>
    </row>
    <row r="129" spans="1:21" s="7" customFormat="1" ht="45.75" hidden="1" customHeight="1" outlineLevel="1" x14ac:dyDescent="0.2">
      <c r="A129" s="33"/>
      <c r="B129" s="439"/>
      <c r="C129" s="338" t="s">
        <v>112</v>
      </c>
      <c r="D129" s="407" t="s">
        <v>59</v>
      </c>
      <c r="E129" s="465"/>
      <c r="F129" s="373" t="s">
        <v>11</v>
      </c>
      <c r="G129" s="336">
        <v>0</v>
      </c>
      <c r="H129" s="336">
        <v>0</v>
      </c>
      <c r="I129" s="336">
        <v>0</v>
      </c>
      <c r="J129" s="336">
        <v>0</v>
      </c>
      <c r="K129" s="336">
        <v>0</v>
      </c>
      <c r="L129" s="337">
        <v>0</v>
      </c>
      <c r="M129" s="337">
        <v>0</v>
      </c>
      <c r="N129" s="337">
        <f t="shared" si="3"/>
        <v>0</v>
      </c>
      <c r="O129" s="337">
        <v>1200</v>
      </c>
      <c r="P129" s="337">
        <v>0</v>
      </c>
      <c r="Q129" s="337">
        <v>0</v>
      </c>
      <c r="R129" s="337">
        <v>0</v>
      </c>
      <c r="S129" s="337">
        <v>0</v>
      </c>
      <c r="T129" s="337">
        <v>0</v>
      </c>
      <c r="U129" s="337">
        <f t="shared" si="7"/>
        <v>1200</v>
      </c>
    </row>
    <row r="130" spans="1:21" s="7" customFormat="1" ht="48.75" hidden="1" customHeight="1" outlineLevel="1" x14ac:dyDescent="0.2">
      <c r="A130" s="33"/>
      <c r="B130" s="439"/>
      <c r="C130" s="338" t="s">
        <v>113</v>
      </c>
      <c r="D130" s="407" t="s">
        <v>59</v>
      </c>
      <c r="E130" s="465"/>
      <c r="F130" s="373" t="s">
        <v>11</v>
      </c>
      <c r="G130" s="336">
        <v>0</v>
      </c>
      <c r="H130" s="336">
        <v>0</v>
      </c>
      <c r="I130" s="336">
        <v>0</v>
      </c>
      <c r="J130" s="336">
        <v>0</v>
      </c>
      <c r="K130" s="336">
        <v>0</v>
      </c>
      <c r="L130" s="337">
        <v>0</v>
      </c>
      <c r="M130" s="337">
        <v>1000</v>
      </c>
      <c r="N130" s="337">
        <f t="shared" si="3"/>
        <v>1000</v>
      </c>
      <c r="O130" s="337">
        <v>0</v>
      </c>
      <c r="P130" s="337">
        <v>0</v>
      </c>
      <c r="Q130" s="337">
        <v>0</v>
      </c>
      <c r="R130" s="337">
        <v>0</v>
      </c>
      <c r="S130" s="337">
        <v>0</v>
      </c>
      <c r="T130" s="337">
        <v>0</v>
      </c>
      <c r="U130" s="337">
        <f t="shared" si="7"/>
        <v>1000</v>
      </c>
    </row>
    <row r="131" spans="1:21" s="7" customFormat="1" ht="44.25" hidden="1" customHeight="1" outlineLevel="1" x14ac:dyDescent="0.2">
      <c r="A131" s="33"/>
      <c r="B131" s="439"/>
      <c r="C131" s="338" t="s">
        <v>114</v>
      </c>
      <c r="D131" s="407" t="s">
        <v>59</v>
      </c>
      <c r="E131" s="465"/>
      <c r="F131" s="373" t="s">
        <v>11</v>
      </c>
      <c r="G131" s="336">
        <v>0</v>
      </c>
      <c r="H131" s="336">
        <v>0</v>
      </c>
      <c r="I131" s="336">
        <v>0</v>
      </c>
      <c r="J131" s="336">
        <v>0</v>
      </c>
      <c r="K131" s="336">
        <v>0</v>
      </c>
      <c r="L131" s="337">
        <v>0</v>
      </c>
      <c r="M131" s="337">
        <v>0</v>
      </c>
      <c r="N131" s="337">
        <f t="shared" si="3"/>
        <v>0</v>
      </c>
      <c r="O131" s="337">
        <v>300</v>
      </c>
      <c r="P131" s="337">
        <v>0</v>
      </c>
      <c r="Q131" s="337">
        <v>0</v>
      </c>
      <c r="R131" s="337">
        <v>0</v>
      </c>
      <c r="S131" s="337">
        <v>0</v>
      </c>
      <c r="T131" s="337">
        <v>0</v>
      </c>
      <c r="U131" s="337">
        <f t="shared" si="7"/>
        <v>300</v>
      </c>
    </row>
    <row r="132" spans="1:21" s="7" customFormat="1" ht="48.75" hidden="1" customHeight="1" outlineLevel="1" x14ac:dyDescent="0.2">
      <c r="A132" s="33"/>
      <c r="B132" s="439"/>
      <c r="C132" s="338" t="s">
        <v>115</v>
      </c>
      <c r="D132" s="407" t="s">
        <v>59</v>
      </c>
      <c r="E132" s="465"/>
      <c r="F132" s="373" t="s">
        <v>11</v>
      </c>
      <c r="G132" s="336">
        <v>0</v>
      </c>
      <c r="H132" s="336">
        <v>0</v>
      </c>
      <c r="I132" s="336">
        <v>0</v>
      </c>
      <c r="J132" s="336">
        <v>0</v>
      </c>
      <c r="K132" s="336">
        <v>0</v>
      </c>
      <c r="L132" s="337">
        <v>0</v>
      </c>
      <c r="M132" s="337">
        <v>0</v>
      </c>
      <c r="N132" s="337">
        <f t="shared" si="3"/>
        <v>0</v>
      </c>
      <c r="O132" s="337">
        <v>350</v>
      </c>
      <c r="P132" s="337">
        <v>0</v>
      </c>
      <c r="Q132" s="337">
        <v>0</v>
      </c>
      <c r="R132" s="337">
        <v>0</v>
      </c>
      <c r="S132" s="337">
        <v>0</v>
      </c>
      <c r="T132" s="337">
        <v>0</v>
      </c>
      <c r="U132" s="337">
        <f t="shared" si="7"/>
        <v>350</v>
      </c>
    </row>
    <row r="133" spans="1:21" s="7" customFormat="1" ht="43.5" hidden="1" customHeight="1" outlineLevel="1" x14ac:dyDescent="0.2">
      <c r="A133" s="33"/>
      <c r="B133" s="439"/>
      <c r="C133" s="338" t="s">
        <v>116</v>
      </c>
      <c r="D133" s="383" t="s">
        <v>59</v>
      </c>
      <c r="E133" s="465"/>
      <c r="F133" s="373" t="s">
        <v>11</v>
      </c>
      <c r="G133" s="336">
        <v>0</v>
      </c>
      <c r="H133" s="336">
        <v>0</v>
      </c>
      <c r="I133" s="336">
        <v>0</v>
      </c>
      <c r="J133" s="336">
        <v>0</v>
      </c>
      <c r="K133" s="336">
        <v>0</v>
      </c>
      <c r="L133" s="337">
        <v>0</v>
      </c>
      <c r="M133" s="337">
        <v>0</v>
      </c>
      <c r="N133" s="337">
        <f t="shared" si="3"/>
        <v>0</v>
      </c>
      <c r="O133" s="337">
        <v>400</v>
      </c>
      <c r="P133" s="337">
        <v>0</v>
      </c>
      <c r="Q133" s="337">
        <v>0</v>
      </c>
      <c r="R133" s="337">
        <v>0</v>
      </c>
      <c r="S133" s="337">
        <v>0</v>
      </c>
      <c r="T133" s="337">
        <v>0</v>
      </c>
      <c r="U133" s="337">
        <f t="shared" si="7"/>
        <v>400</v>
      </c>
    </row>
    <row r="134" spans="1:21" s="7" customFormat="1" ht="45.75" hidden="1" customHeight="1" outlineLevel="1" x14ac:dyDescent="0.2">
      <c r="A134" s="33"/>
      <c r="B134" s="439"/>
      <c r="C134" s="338" t="s">
        <v>117</v>
      </c>
      <c r="D134" s="407" t="s">
        <v>59</v>
      </c>
      <c r="E134" s="465"/>
      <c r="F134" s="373" t="s">
        <v>11</v>
      </c>
      <c r="G134" s="336">
        <v>0</v>
      </c>
      <c r="H134" s="336">
        <v>0</v>
      </c>
      <c r="I134" s="336">
        <v>0</v>
      </c>
      <c r="J134" s="336">
        <v>0</v>
      </c>
      <c r="K134" s="336">
        <v>0</v>
      </c>
      <c r="L134" s="337">
        <v>0</v>
      </c>
      <c r="M134" s="337">
        <f>5000-5000</f>
        <v>0</v>
      </c>
      <c r="N134" s="337">
        <f t="shared" si="3"/>
        <v>0</v>
      </c>
      <c r="O134" s="337">
        <v>0</v>
      </c>
      <c r="P134" s="337">
        <v>0</v>
      </c>
      <c r="Q134" s="337">
        <v>0</v>
      </c>
      <c r="R134" s="337">
        <v>0</v>
      </c>
      <c r="S134" s="337">
        <v>0</v>
      </c>
      <c r="T134" s="337">
        <v>0</v>
      </c>
      <c r="U134" s="337">
        <f t="shared" si="7"/>
        <v>0</v>
      </c>
    </row>
    <row r="135" spans="1:21" s="7" customFormat="1" ht="39.75" hidden="1" customHeight="1" outlineLevel="1" x14ac:dyDescent="0.2">
      <c r="A135" s="33"/>
      <c r="B135" s="439"/>
      <c r="C135" s="338" t="s">
        <v>118</v>
      </c>
      <c r="D135" s="407" t="s">
        <v>59</v>
      </c>
      <c r="E135" s="465"/>
      <c r="F135" s="373" t="s">
        <v>11</v>
      </c>
      <c r="G135" s="336">
        <v>0</v>
      </c>
      <c r="H135" s="336">
        <v>0</v>
      </c>
      <c r="I135" s="336">
        <v>0</v>
      </c>
      <c r="J135" s="336">
        <v>0</v>
      </c>
      <c r="K135" s="336">
        <v>0</v>
      </c>
      <c r="L135" s="337">
        <v>0</v>
      </c>
      <c r="M135" s="337">
        <v>0</v>
      </c>
      <c r="N135" s="337">
        <f t="shared" si="3"/>
        <v>0</v>
      </c>
      <c r="O135" s="337">
        <v>12000</v>
      </c>
      <c r="P135" s="337">
        <v>0</v>
      </c>
      <c r="Q135" s="337">
        <v>0</v>
      </c>
      <c r="R135" s="337">
        <v>0</v>
      </c>
      <c r="S135" s="337">
        <v>0</v>
      </c>
      <c r="T135" s="337">
        <v>0</v>
      </c>
      <c r="U135" s="337">
        <f t="shared" si="7"/>
        <v>12000</v>
      </c>
    </row>
    <row r="136" spans="1:21" s="7" customFormat="1" ht="50.25" hidden="1" customHeight="1" outlineLevel="1" x14ac:dyDescent="0.2">
      <c r="A136" s="33"/>
      <c r="B136" s="439"/>
      <c r="C136" s="338" t="s">
        <v>119</v>
      </c>
      <c r="D136" s="407" t="s">
        <v>59</v>
      </c>
      <c r="E136" s="465"/>
      <c r="F136" s="373" t="s">
        <v>11</v>
      </c>
      <c r="G136" s="336">
        <v>0</v>
      </c>
      <c r="H136" s="336">
        <v>0</v>
      </c>
      <c r="I136" s="336">
        <v>0</v>
      </c>
      <c r="J136" s="336">
        <v>0</v>
      </c>
      <c r="K136" s="336">
        <v>0</v>
      </c>
      <c r="L136" s="337">
        <v>0</v>
      </c>
      <c r="M136" s="337">
        <f>18000-488.9+99.5</f>
        <v>17610.599999999999</v>
      </c>
      <c r="N136" s="337">
        <f t="shared" si="3"/>
        <v>17610.599999999999</v>
      </c>
      <c r="O136" s="337">
        <v>0</v>
      </c>
      <c r="P136" s="337">
        <v>0</v>
      </c>
      <c r="Q136" s="337">
        <v>0</v>
      </c>
      <c r="R136" s="337">
        <v>0</v>
      </c>
      <c r="S136" s="337">
        <v>0</v>
      </c>
      <c r="T136" s="337">
        <v>0</v>
      </c>
      <c r="U136" s="337">
        <f t="shared" si="7"/>
        <v>17610.599999999999</v>
      </c>
    </row>
    <row r="137" spans="1:21" s="7" customFormat="1" ht="48" hidden="1" customHeight="1" outlineLevel="1" x14ac:dyDescent="0.2">
      <c r="A137" s="33"/>
      <c r="B137" s="439"/>
      <c r="C137" s="338" t="s">
        <v>120</v>
      </c>
      <c r="D137" s="407" t="s">
        <v>59</v>
      </c>
      <c r="E137" s="465"/>
      <c r="F137" s="373" t="s">
        <v>11</v>
      </c>
      <c r="G137" s="336">
        <v>0</v>
      </c>
      <c r="H137" s="336">
        <v>0</v>
      </c>
      <c r="I137" s="336">
        <v>0</v>
      </c>
      <c r="J137" s="336">
        <v>0</v>
      </c>
      <c r="K137" s="336">
        <v>0</v>
      </c>
      <c r="L137" s="337">
        <v>0</v>
      </c>
      <c r="M137" s="337">
        <v>0</v>
      </c>
      <c r="N137" s="337">
        <f t="shared" si="3"/>
        <v>0</v>
      </c>
      <c r="O137" s="337">
        <v>18000</v>
      </c>
      <c r="P137" s="337">
        <v>0</v>
      </c>
      <c r="Q137" s="337">
        <v>0</v>
      </c>
      <c r="R137" s="337">
        <v>0</v>
      </c>
      <c r="S137" s="337">
        <v>0</v>
      </c>
      <c r="T137" s="337">
        <v>0</v>
      </c>
      <c r="U137" s="337">
        <f t="shared" si="7"/>
        <v>18000</v>
      </c>
    </row>
    <row r="138" spans="1:21" s="7" customFormat="1" ht="45.75" hidden="1" customHeight="1" outlineLevel="1" x14ac:dyDescent="0.2">
      <c r="A138" s="33"/>
      <c r="B138" s="439"/>
      <c r="C138" s="338" t="s">
        <v>197</v>
      </c>
      <c r="D138" s="407" t="s">
        <v>59</v>
      </c>
      <c r="E138" s="465"/>
      <c r="F138" s="373" t="s">
        <v>11</v>
      </c>
      <c r="G138" s="336">
        <v>0</v>
      </c>
      <c r="H138" s="336">
        <v>0</v>
      </c>
      <c r="I138" s="336">
        <v>0</v>
      </c>
      <c r="J138" s="336">
        <v>0</v>
      </c>
      <c r="K138" s="336">
        <v>0</v>
      </c>
      <c r="L138" s="337">
        <v>0</v>
      </c>
      <c r="M138" s="337">
        <v>120</v>
      </c>
      <c r="N138" s="337">
        <f t="shared" si="3"/>
        <v>120</v>
      </c>
      <c r="O138" s="337">
        <v>0</v>
      </c>
      <c r="P138" s="337">
        <v>0</v>
      </c>
      <c r="Q138" s="337">
        <v>0</v>
      </c>
      <c r="R138" s="337">
        <v>0</v>
      </c>
      <c r="S138" s="337">
        <v>0</v>
      </c>
      <c r="T138" s="337">
        <v>0</v>
      </c>
      <c r="U138" s="337">
        <f t="shared" si="7"/>
        <v>120</v>
      </c>
    </row>
    <row r="139" spans="1:21" s="7" customFormat="1" ht="51" hidden="1" customHeight="1" outlineLevel="1" x14ac:dyDescent="0.2">
      <c r="A139" s="33"/>
      <c r="B139" s="439"/>
      <c r="C139" s="338" t="s">
        <v>186</v>
      </c>
      <c r="D139" s="406" t="s">
        <v>59</v>
      </c>
      <c r="E139" s="465"/>
      <c r="F139" s="373" t="s">
        <v>11</v>
      </c>
      <c r="G139" s="336">
        <v>0</v>
      </c>
      <c r="H139" s="336">
        <v>0</v>
      </c>
      <c r="I139" s="336">
        <v>0</v>
      </c>
      <c r="J139" s="336">
        <v>0</v>
      </c>
      <c r="K139" s="336">
        <v>0</v>
      </c>
      <c r="L139" s="337">
        <v>0</v>
      </c>
      <c r="M139" s="337">
        <v>135</v>
      </c>
      <c r="N139" s="337">
        <f t="shared" si="3"/>
        <v>135</v>
      </c>
      <c r="O139" s="337">
        <v>0</v>
      </c>
      <c r="P139" s="337">
        <v>0</v>
      </c>
      <c r="Q139" s="337">
        <v>0</v>
      </c>
      <c r="R139" s="337">
        <v>0</v>
      </c>
      <c r="S139" s="337">
        <v>0</v>
      </c>
      <c r="T139" s="337">
        <v>0</v>
      </c>
      <c r="U139" s="337">
        <f t="shared" si="7"/>
        <v>135</v>
      </c>
    </row>
    <row r="140" spans="1:21" s="7" customFormat="1" ht="45.75" hidden="1" customHeight="1" outlineLevel="1" x14ac:dyDescent="0.2">
      <c r="A140" s="33"/>
      <c r="B140" s="439"/>
      <c r="C140" s="338" t="s">
        <v>121</v>
      </c>
      <c r="D140" s="406" t="s">
        <v>59</v>
      </c>
      <c r="E140" s="465"/>
      <c r="F140" s="373" t="s">
        <v>11</v>
      </c>
      <c r="G140" s="336">
        <v>0</v>
      </c>
      <c r="H140" s="336">
        <v>0</v>
      </c>
      <c r="I140" s="336">
        <v>0</v>
      </c>
      <c r="J140" s="336">
        <v>0</v>
      </c>
      <c r="K140" s="336">
        <v>0</v>
      </c>
      <c r="L140" s="337">
        <v>0</v>
      </c>
      <c r="M140" s="337">
        <v>0</v>
      </c>
      <c r="N140" s="337">
        <f t="shared" si="3"/>
        <v>0</v>
      </c>
      <c r="O140" s="337">
        <v>300</v>
      </c>
      <c r="P140" s="337">
        <v>0</v>
      </c>
      <c r="Q140" s="337">
        <v>0</v>
      </c>
      <c r="R140" s="337">
        <v>0</v>
      </c>
      <c r="S140" s="337">
        <v>0</v>
      </c>
      <c r="T140" s="337">
        <v>0</v>
      </c>
      <c r="U140" s="337">
        <f t="shared" si="7"/>
        <v>300</v>
      </c>
    </row>
    <row r="141" spans="1:21" s="7" customFormat="1" ht="48.75" hidden="1" customHeight="1" outlineLevel="1" x14ac:dyDescent="0.2">
      <c r="A141" s="33"/>
      <c r="B141" s="439"/>
      <c r="C141" s="338" t="s">
        <v>198</v>
      </c>
      <c r="D141" s="407" t="s">
        <v>59</v>
      </c>
      <c r="E141" s="465"/>
      <c r="F141" s="373" t="s">
        <v>11</v>
      </c>
      <c r="G141" s="336">
        <v>0</v>
      </c>
      <c r="H141" s="336">
        <v>0</v>
      </c>
      <c r="I141" s="336">
        <v>0</v>
      </c>
      <c r="J141" s="336">
        <v>0</v>
      </c>
      <c r="K141" s="336">
        <v>0</v>
      </c>
      <c r="L141" s="337">
        <v>0</v>
      </c>
      <c r="M141" s="337">
        <v>0</v>
      </c>
      <c r="N141" s="337">
        <f t="shared" si="3"/>
        <v>0</v>
      </c>
      <c r="O141" s="337">
        <v>350</v>
      </c>
      <c r="P141" s="337">
        <v>0</v>
      </c>
      <c r="Q141" s="337">
        <v>0</v>
      </c>
      <c r="R141" s="337">
        <v>0</v>
      </c>
      <c r="S141" s="337">
        <v>0</v>
      </c>
      <c r="T141" s="337">
        <v>0</v>
      </c>
      <c r="U141" s="337">
        <f t="shared" si="7"/>
        <v>350</v>
      </c>
    </row>
    <row r="142" spans="1:21" s="7" customFormat="1" ht="55.5" hidden="1" customHeight="1" outlineLevel="1" x14ac:dyDescent="0.2">
      <c r="A142" s="33"/>
      <c r="B142" s="439"/>
      <c r="C142" s="342" t="s">
        <v>199</v>
      </c>
      <c r="D142" s="383" t="s">
        <v>59</v>
      </c>
      <c r="E142" s="465"/>
      <c r="F142" s="373" t="s">
        <v>11</v>
      </c>
      <c r="G142" s="336">
        <v>0</v>
      </c>
      <c r="H142" s="336">
        <v>0</v>
      </c>
      <c r="I142" s="336">
        <v>0</v>
      </c>
      <c r="J142" s="336">
        <v>0</v>
      </c>
      <c r="K142" s="336">
        <v>0</v>
      </c>
      <c r="L142" s="337">
        <f>700-700</f>
        <v>0</v>
      </c>
      <c r="M142" s="337">
        <f>880</f>
        <v>880</v>
      </c>
      <c r="N142" s="337">
        <f t="shared" si="3"/>
        <v>880</v>
      </c>
      <c r="O142" s="337">
        <v>0</v>
      </c>
      <c r="P142" s="337">
        <v>0</v>
      </c>
      <c r="Q142" s="337">
        <v>0</v>
      </c>
      <c r="R142" s="337">
        <v>0</v>
      </c>
      <c r="S142" s="337">
        <v>0</v>
      </c>
      <c r="T142" s="337">
        <v>0</v>
      </c>
      <c r="U142" s="337">
        <f t="shared" si="7"/>
        <v>880</v>
      </c>
    </row>
    <row r="143" spans="1:21" s="7" customFormat="1" ht="53.25" hidden="1" customHeight="1" outlineLevel="1" x14ac:dyDescent="0.2">
      <c r="A143" s="33"/>
      <c r="B143" s="439"/>
      <c r="C143" s="343" t="s">
        <v>200</v>
      </c>
      <c r="D143" s="405" t="s">
        <v>59</v>
      </c>
      <c r="E143" s="465"/>
      <c r="F143" s="373" t="s">
        <v>11</v>
      </c>
      <c r="G143" s="336">
        <v>0</v>
      </c>
      <c r="H143" s="336">
        <v>0</v>
      </c>
      <c r="I143" s="336">
        <v>0</v>
      </c>
      <c r="J143" s="336">
        <v>0</v>
      </c>
      <c r="K143" s="336">
        <v>0</v>
      </c>
      <c r="L143" s="337">
        <v>0</v>
      </c>
      <c r="M143" s="337">
        <v>1750</v>
      </c>
      <c r="N143" s="337">
        <f t="shared" si="3"/>
        <v>1750</v>
      </c>
      <c r="O143" s="337">
        <v>2200</v>
      </c>
      <c r="P143" s="337">
        <v>0</v>
      </c>
      <c r="Q143" s="337">
        <v>0</v>
      </c>
      <c r="R143" s="337">
        <v>0</v>
      </c>
      <c r="S143" s="337">
        <v>0</v>
      </c>
      <c r="T143" s="337">
        <v>0</v>
      </c>
      <c r="U143" s="337">
        <f t="shared" si="7"/>
        <v>3950</v>
      </c>
    </row>
    <row r="144" spans="1:21" s="7" customFormat="1" ht="48.75" hidden="1" customHeight="1" outlineLevel="1" x14ac:dyDescent="0.2">
      <c r="A144" s="33"/>
      <c r="B144" s="439"/>
      <c r="C144" s="338" t="s">
        <v>122</v>
      </c>
      <c r="D144" s="407" t="s">
        <v>59</v>
      </c>
      <c r="E144" s="465"/>
      <c r="F144" s="373" t="s">
        <v>11</v>
      </c>
      <c r="G144" s="336">
        <v>0</v>
      </c>
      <c r="H144" s="336">
        <v>0</v>
      </c>
      <c r="I144" s="336">
        <v>0</v>
      </c>
      <c r="J144" s="336">
        <v>0</v>
      </c>
      <c r="K144" s="336">
        <v>0</v>
      </c>
      <c r="L144" s="337">
        <v>500</v>
      </c>
      <c r="M144" s="337">
        <v>0</v>
      </c>
      <c r="N144" s="337">
        <f t="shared" si="3"/>
        <v>500</v>
      </c>
      <c r="O144" s="337">
        <v>0</v>
      </c>
      <c r="P144" s="337">
        <v>0</v>
      </c>
      <c r="Q144" s="337">
        <v>0</v>
      </c>
      <c r="R144" s="337">
        <v>0</v>
      </c>
      <c r="S144" s="337">
        <v>0</v>
      </c>
      <c r="T144" s="337">
        <v>0</v>
      </c>
      <c r="U144" s="337">
        <f t="shared" si="7"/>
        <v>500</v>
      </c>
    </row>
    <row r="145" spans="1:21" s="7" customFormat="1" ht="45.75" hidden="1" customHeight="1" outlineLevel="1" x14ac:dyDescent="0.2">
      <c r="A145" s="76"/>
      <c r="B145" s="439"/>
      <c r="C145" s="338" t="s">
        <v>123</v>
      </c>
      <c r="D145" s="407" t="s">
        <v>59</v>
      </c>
      <c r="E145" s="465"/>
      <c r="F145" s="373" t="s">
        <v>11</v>
      </c>
      <c r="G145" s="336">
        <v>0</v>
      </c>
      <c r="H145" s="336">
        <v>0</v>
      </c>
      <c r="I145" s="336">
        <v>0</v>
      </c>
      <c r="J145" s="336">
        <v>0</v>
      </c>
      <c r="K145" s="336">
        <v>0</v>
      </c>
      <c r="L145" s="337">
        <v>0</v>
      </c>
      <c r="M145" s="337">
        <f>2000</f>
        <v>2000</v>
      </c>
      <c r="N145" s="337">
        <f t="shared" si="3"/>
        <v>2000</v>
      </c>
      <c r="O145" s="337">
        <v>0</v>
      </c>
      <c r="P145" s="337">
        <v>0</v>
      </c>
      <c r="Q145" s="337">
        <v>0</v>
      </c>
      <c r="R145" s="337">
        <v>0</v>
      </c>
      <c r="S145" s="337">
        <v>0</v>
      </c>
      <c r="T145" s="337">
        <v>0</v>
      </c>
      <c r="U145" s="337">
        <f t="shared" si="7"/>
        <v>2000</v>
      </c>
    </row>
    <row r="146" spans="1:21" s="7" customFormat="1" ht="57.75" customHeight="1" outlineLevel="1" collapsed="1" x14ac:dyDescent="0.2">
      <c r="A146" s="33"/>
      <c r="B146" s="439"/>
      <c r="C146" s="338" t="s">
        <v>124</v>
      </c>
      <c r="D146" s="407" t="s">
        <v>61</v>
      </c>
      <c r="E146" s="465"/>
      <c r="F146" s="373" t="s">
        <v>11</v>
      </c>
      <c r="G146" s="336">
        <v>0</v>
      </c>
      <c r="H146" s="336">
        <v>0</v>
      </c>
      <c r="I146" s="336">
        <v>0</v>
      </c>
      <c r="J146" s="336">
        <v>0</v>
      </c>
      <c r="K146" s="336">
        <v>0</v>
      </c>
      <c r="L146" s="337">
        <v>20000</v>
      </c>
      <c r="M146" s="337">
        <f>22000+28000</f>
        <v>50000</v>
      </c>
      <c r="N146" s="337">
        <f t="shared" si="3"/>
        <v>70000</v>
      </c>
      <c r="O146" s="337">
        <f>24200+265.6</f>
        <v>24465.599999999999</v>
      </c>
      <c r="P146" s="337">
        <v>33993</v>
      </c>
      <c r="Q146" s="337">
        <f>36372.51</f>
        <v>36372.51</v>
      </c>
      <c r="R146" s="337">
        <v>45377.3</v>
      </c>
      <c r="S146" s="337">
        <v>49642.8</v>
      </c>
      <c r="T146" s="337">
        <f>43075.4948240911+10489.01</f>
        <v>53564.504824091106</v>
      </c>
      <c r="U146" s="337">
        <f t="shared" si="7"/>
        <v>313415.71482409112</v>
      </c>
    </row>
    <row r="147" spans="1:21" s="7" customFormat="1" ht="42.75" hidden="1" customHeight="1" outlineLevel="1" x14ac:dyDescent="0.2">
      <c r="A147" s="33"/>
      <c r="B147" s="439"/>
      <c r="C147" s="338" t="s">
        <v>125</v>
      </c>
      <c r="D147" s="407" t="s">
        <v>59</v>
      </c>
      <c r="E147" s="465"/>
      <c r="F147" s="373" t="s">
        <v>11</v>
      </c>
      <c r="G147" s="336">
        <v>0</v>
      </c>
      <c r="H147" s="336">
        <v>0</v>
      </c>
      <c r="I147" s="336">
        <v>0</v>
      </c>
      <c r="J147" s="336">
        <v>0</v>
      </c>
      <c r="K147" s="336">
        <v>0</v>
      </c>
      <c r="L147" s="337">
        <f>4000+349.7-4349.7</f>
        <v>0</v>
      </c>
      <c r="M147" s="337">
        <f>0+4349.7</f>
        <v>4349.7</v>
      </c>
      <c r="N147" s="337">
        <f t="shared" ref="N147:N210" si="8">G147+H147+I147+J147+K147+L147+M147</f>
        <v>4349.7</v>
      </c>
      <c r="O147" s="337">
        <f>2100-2100</f>
        <v>0</v>
      </c>
      <c r="P147" s="337">
        <v>0</v>
      </c>
      <c r="Q147" s="337">
        <v>0</v>
      </c>
      <c r="R147" s="337">
        <v>0</v>
      </c>
      <c r="S147" s="337">
        <v>0</v>
      </c>
      <c r="T147" s="337">
        <v>0</v>
      </c>
      <c r="U147" s="337">
        <f t="shared" si="7"/>
        <v>4349.7</v>
      </c>
    </row>
    <row r="148" spans="1:21" s="7" customFormat="1" ht="43.5" hidden="1" customHeight="1" outlineLevel="1" x14ac:dyDescent="0.2">
      <c r="A148" s="33"/>
      <c r="B148" s="439"/>
      <c r="C148" s="338" t="s">
        <v>126</v>
      </c>
      <c r="D148" s="407" t="s">
        <v>59</v>
      </c>
      <c r="E148" s="465"/>
      <c r="F148" s="373" t="s">
        <v>11</v>
      </c>
      <c r="G148" s="336">
        <v>0</v>
      </c>
      <c r="H148" s="336">
        <v>0</v>
      </c>
      <c r="I148" s="336">
        <v>0</v>
      </c>
      <c r="J148" s="336">
        <v>0</v>
      </c>
      <c r="K148" s="336">
        <v>0</v>
      </c>
      <c r="L148" s="337">
        <v>4500</v>
      </c>
      <c r="M148" s="337">
        <f>5000-5000</f>
        <v>0</v>
      </c>
      <c r="N148" s="337">
        <f t="shared" si="8"/>
        <v>4500</v>
      </c>
      <c r="O148" s="337">
        <v>5500</v>
      </c>
      <c r="P148" s="337">
        <v>0</v>
      </c>
      <c r="Q148" s="337">
        <v>0</v>
      </c>
      <c r="R148" s="337">
        <v>0</v>
      </c>
      <c r="S148" s="337">
        <v>0</v>
      </c>
      <c r="T148" s="337">
        <v>0</v>
      </c>
      <c r="U148" s="337">
        <f t="shared" si="7"/>
        <v>10000</v>
      </c>
    </row>
    <row r="149" spans="1:21" s="7" customFormat="1" ht="45" hidden="1" customHeight="1" outlineLevel="1" x14ac:dyDescent="0.2">
      <c r="A149" s="33"/>
      <c r="B149" s="439"/>
      <c r="C149" s="338" t="s">
        <v>127</v>
      </c>
      <c r="D149" s="407" t="s">
        <v>59</v>
      </c>
      <c r="E149" s="465"/>
      <c r="F149" s="373" t="s">
        <v>11</v>
      </c>
      <c r="G149" s="336">
        <v>0</v>
      </c>
      <c r="H149" s="336">
        <v>0</v>
      </c>
      <c r="I149" s="336">
        <v>0</v>
      </c>
      <c r="J149" s="336">
        <v>0</v>
      </c>
      <c r="K149" s="336">
        <v>0</v>
      </c>
      <c r="L149" s="337">
        <f>4000-349.7</f>
        <v>3650.3</v>
      </c>
      <c r="M149" s="337">
        <v>0</v>
      </c>
      <c r="N149" s="337">
        <f t="shared" si="8"/>
        <v>3650.3</v>
      </c>
      <c r="O149" s="337">
        <v>0</v>
      </c>
      <c r="P149" s="337">
        <v>0</v>
      </c>
      <c r="Q149" s="337">
        <v>0</v>
      </c>
      <c r="R149" s="337">
        <v>0</v>
      </c>
      <c r="S149" s="337">
        <v>0</v>
      </c>
      <c r="T149" s="337">
        <v>0</v>
      </c>
      <c r="U149" s="337">
        <f t="shared" si="7"/>
        <v>3650.3</v>
      </c>
    </row>
    <row r="150" spans="1:21" s="7" customFormat="1" ht="43.5" hidden="1" customHeight="1" outlineLevel="1" x14ac:dyDescent="0.2">
      <c r="A150" s="33"/>
      <c r="B150" s="439"/>
      <c r="C150" s="338" t="s">
        <v>128</v>
      </c>
      <c r="D150" s="407" t="s">
        <v>61</v>
      </c>
      <c r="E150" s="465"/>
      <c r="F150" s="373" t="s">
        <v>11</v>
      </c>
      <c r="G150" s="336">
        <v>0</v>
      </c>
      <c r="H150" s="336">
        <v>0</v>
      </c>
      <c r="I150" s="336">
        <v>0</v>
      </c>
      <c r="J150" s="336">
        <v>0</v>
      </c>
      <c r="K150" s="336">
        <v>0</v>
      </c>
      <c r="L150" s="337">
        <v>0</v>
      </c>
      <c r="M150" s="337">
        <f>2500</f>
        <v>2500</v>
      </c>
      <c r="N150" s="337">
        <f t="shared" si="8"/>
        <v>2500</v>
      </c>
      <c r="O150" s="337">
        <v>0</v>
      </c>
      <c r="P150" s="337">
        <v>0</v>
      </c>
      <c r="Q150" s="337">
        <v>0</v>
      </c>
      <c r="R150" s="337">
        <v>0</v>
      </c>
      <c r="S150" s="337">
        <v>0</v>
      </c>
      <c r="T150" s="337">
        <v>7800</v>
      </c>
      <c r="U150" s="337">
        <f t="shared" si="7"/>
        <v>10300</v>
      </c>
    </row>
    <row r="151" spans="1:21" s="91" customFormat="1" ht="42" hidden="1" customHeight="1" outlineLevel="1" collapsed="1" x14ac:dyDescent="0.2">
      <c r="A151" s="33"/>
      <c r="B151" s="439"/>
      <c r="C151" s="338" t="s">
        <v>129</v>
      </c>
      <c r="D151" s="407" t="s">
        <v>255</v>
      </c>
      <c r="E151" s="465"/>
      <c r="F151" s="373" t="s">
        <v>11</v>
      </c>
      <c r="G151" s="336">
        <v>0</v>
      </c>
      <c r="H151" s="336">
        <v>0</v>
      </c>
      <c r="I151" s="336">
        <v>0</v>
      </c>
      <c r="J151" s="336">
        <v>0</v>
      </c>
      <c r="K151" s="336">
        <v>0</v>
      </c>
      <c r="L151" s="337">
        <v>2500</v>
      </c>
      <c r="M151" s="337">
        <v>2750</v>
      </c>
      <c r="N151" s="337">
        <f t="shared" si="8"/>
        <v>5250</v>
      </c>
      <c r="O151" s="337">
        <f>2900+2100-500</f>
        <v>4500</v>
      </c>
      <c r="P151" s="337">
        <v>6500</v>
      </c>
      <c r="Q151" s="337">
        <v>0</v>
      </c>
      <c r="R151" s="337">
        <f>7100-7100</f>
        <v>0</v>
      </c>
      <c r="S151" s="337">
        <v>0</v>
      </c>
      <c r="T151" s="337">
        <v>0</v>
      </c>
      <c r="U151" s="337">
        <f t="shared" ref="U151:U214" si="9">SUM(G151:T151)-N151</f>
        <v>16250</v>
      </c>
    </row>
    <row r="152" spans="1:21" s="7" customFormat="1" ht="48" hidden="1" customHeight="1" outlineLevel="1" x14ac:dyDescent="0.2">
      <c r="A152" s="33"/>
      <c r="B152" s="439"/>
      <c r="C152" s="338" t="s">
        <v>130</v>
      </c>
      <c r="D152" s="383" t="s">
        <v>59</v>
      </c>
      <c r="E152" s="465"/>
      <c r="F152" s="373" t="s">
        <v>11</v>
      </c>
      <c r="G152" s="336">
        <v>0</v>
      </c>
      <c r="H152" s="336">
        <v>0</v>
      </c>
      <c r="I152" s="336">
        <v>0</v>
      </c>
      <c r="J152" s="336">
        <v>0</v>
      </c>
      <c r="K152" s="336">
        <v>0</v>
      </c>
      <c r="L152" s="337">
        <v>900</v>
      </c>
      <c r="M152" s="337">
        <v>0</v>
      </c>
      <c r="N152" s="337">
        <f t="shared" si="8"/>
        <v>900</v>
      </c>
      <c r="O152" s="337">
        <v>1100</v>
      </c>
      <c r="P152" s="337">
        <v>0</v>
      </c>
      <c r="Q152" s="337">
        <v>0</v>
      </c>
      <c r="R152" s="337">
        <v>0</v>
      </c>
      <c r="S152" s="337">
        <v>0</v>
      </c>
      <c r="T152" s="337">
        <v>0</v>
      </c>
      <c r="U152" s="337">
        <f t="shared" si="9"/>
        <v>2000</v>
      </c>
    </row>
    <row r="153" spans="1:21" s="7" customFormat="1" ht="45" hidden="1" customHeight="1" outlineLevel="1" x14ac:dyDescent="0.2">
      <c r="A153" s="33"/>
      <c r="B153" s="439"/>
      <c r="C153" s="338" t="s">
        <v>131</v>
      </c>
      <c r="D153" s="407" t="s">
        <v>59</v>
      </c>
      <c r="E153" s="465"/>
      <c r="F153" s="373" t="s">
        <v>11</v>
      </c>
      <c r="G153" s="336">
        <v>0</v>
      </c>
      <c r="H153" s="336">
        <v>0</v>
      </c>
      <c r="I153" s="336">
        <v>0</v>
      </c>
      <c r="J153" s="336">
        <v>0</v>
      </c>
      <c r="K153" s="336">
        <v>0</v>
      </c>
      <c r="L153" s="337">
        <v>300</v>
      </c>
      <c r="M153" s="337">
        <f>330-330</f>
        <v>0</v>
      </c>
      <c r="N153" s="337">
        <f t="shared" si="8"/>
        <v>300</v>
      </c>
      <c r="O153" s="337">
        <f>370-265.6</f>
        <v>104.39999999999998</v>
      </c>
      <c r="P153" s="337">
        <v>0</v>
      </c>
      <c r="Q153" s="337">
        <v>0</v>
      </c>
      <c r="R153" s="337">
        <v>0</v>
      </c>
      <c r="S153" s="337">
        <v>0</v>
      </c>
      <c r="T153" s="337">
        <v>0</v>
      </c>
      <c r="U153" s="337">
        <f t="shared" si="9"/>
        <v>404.4</v>
      </c>
    </row>
    <row r="154" spans="1:21" s="7" customFormat="1" ht="39.75" hidden="1" customHeight="1" outlineLevel="1" collapsed="1" x14ac:dyDescent="0.2">
      <c r="A154" s="33"/>
      <c r="B154" s="439"/>
      <c r="C154" s="338" t="s">
        <v>132</v>
      </c>
      <c r="D154" s="407" t="s">
        <v>59</v>
      </c>
      <c r="E154" s="465"/>
      <c r="F154" s="373" t="s">
        <v>11</v>
      </c>
      <c r="G154" s="336">
        <v>0</v>
      </c>
      <c r="H154" s="336">
        <v>0</v>
      </c>
      <c r="I154" s="336">
        <v>0</v>
      </c>
      <c r="J154" s="336">
        <v>0</v>
      </c>
      <c r="K154" s="336">
        <v>0</v>
      </c>
      <c r="L154" s="337">
        <v>0</v>
      </c>
      <c r="M154" s="337">
        <v>0</v>
      </c>
      <c r="N154" s="337">
        <f t="shared" si="8"/>
        <v>0</v>
      </c>
      <c r="O154" s="337">
        <v>4000</v>
      </c>
      <c r="P154" s="337">
        <v>0</v>
      </c>
      <c r="Q154" s="337">
        <v>0</v>
      </c>
      <c r="R154" s="337">
        <v>0</v>
      </c>
      <c r="S154" s="337">
        <f>6157-6157</f>
        <v>0</v>
      </c>
      <c r="T154" s="337">
        <v>0</v>
      </c>
      <c r="U154" s="337">
        <f t="shared" si="9"/>
        <v>4000</v>
      </c>
    </row>
    <row r="155" spans="1:21" s="7" customFormat="1" ht="44.25" hidden="1" customHeight="1" outlineLevel="1" x14ac:dyDescent="0.2">
      <c r="A155" s="33"/>
      <c r="B155" s="439"/>
      <c r="C155" s="338" t="s">
        <v>133</v>
      </c>
      <c r="D155" s="407" t="s">
        <v>59</v>
      </c>
      <c r="E155" s="465"/>
      <c r="F155" s="373" t="s">
        <v>11</v>
      </c>
      <c r="G155" s="336">
        <v>0</v>
      </c>
      <c r="H155" s="336">
        <v>0</v>
      </c>
      <c r="I155" s="336">
        <v>0</v>
      </c>
      <c r="J155" s="336">
        <v>0</v>
      </c>
      <c r="K155" s="336">
        <v>0</v>
      </c>
      <c r="L155" s="337">
        <v>0</v>
      </c>
      <c r="M155" s="337">
        <f>7000-2000</f>
        <v>5000</v>
      </c>
      <c r="N155" s="337">
        <f t="shared" si="8"/>
        <v>5000</v>
      </c>
      <c r="O155" s="337">
        <v>7700</v>
      </c>
      <c r="P155" s="337">
        <v>0</v>
      </c>
      <c r="Q155" s="337">
        <v>0</v>
      </c>
      <c r="R155" s="337">
        <v>0</v>
      </c>
      <c r="S155" s="337">
        <f>9500-9500</f>
        <v>0</v>
      </c>
      <c r="T155" s="337">
        <v>0</v>
      </c>
      <c r="U155" s="337">
        <f t="shared" si="9"/>
        <v>12700</v>
      </c>
    </row>
    <row r="156" spans="1:21" s="7" customFormat="1" ht="41.25" hidden="1" customHeight="1" outlineLevel="1" x14ac:dyDescent="0.2">
      <c r="A156" s="33"/>
      <c r="B156" s="439"/>
      <c r="C156" s="338" t="s">
        <v>134</v>
      </c>
      <c r="D156" s="407" t="s">
        <v>59</v>
      </c>
      <c r="E156" s="465"/>
      <c r="F156" s="373" t="s">
        <v>11</v>
      </c>
      <c r="G156" s="336">
        <v>0</v>
      </c>
      <c r="H156" s="336">
        <v>0</v>
      </c>
      <c r="I156" s="336">
        <v>0</v>
      </c>
      <c r="J156" s="336">
        <v>0</v>
      </c>
      <c r="K156" s="336">
        <v>0</v>
      </c>
      <c r="L156" s="337">
        <f>5000-2397</f>
        <v>2603</v>
      </c>
      <c r="M156" s="337">
        <f>5500</f>
        <v>5500</v>
      </c>
      <c r="N156" s="337">
        <f t="shared" si="8"/>
        <v>8103</v>
      </c>
      <c r="O156" s="337">
        <v>0</v>
      </c>
      <c r="P156" s="337">
        <v>0</v>
      </c>
      <c r="Q156" s="337">
        <v>0</v>
      </c>
      <c r="R156" s="337">
        <v>0</v>
      </c>
      <c r="S156" s="337">
        <v>0</v>
      </c>
      <c r="T156" s="337">
        <v>0</v>
      </c>
      <c r="U156" s="337">
        <f t="shared" si="9"/>
        <v>8103</v>
      </c>
    </row>
    <row r="157" spans="1:21" s="7" customFormat="1" ht="87.75" customHeight="1" outlineLevel="1" collapsed="1" x14ac:dyDescent="0.2">
      <c r="A157" s="33"/>
      <c r="B157" s="439"/>
      <c r="C157" s="338" t="s">
        <v>303</v>
      </c>
      <c r="D157" s="407" t="s">
        <v>256</v>
      </c>
      <c r="E157" s="465"/>
      <c r="F157" s="373" t="s">
        <v>299</v>
      </c>
      <c r="G157" s="336">
        <v>0</v>
      </c>
      <c r="H157" s="336">
        <v>0</v>
      </c>
      <c r="I157" s="336">
        <v>0</v>
      </c>
      <c r="J157" s="336">
        <v>0</v>
      </c>
      <c r="K157" s="336">
        <v>0</v>
      </c>
      <c r="L157" s="337">
        <v>65000</v>
      </c>
      <c r="M157" s="337">
        <v>0</v>
      </c>
      <c r="N157" s="337">
        <f t="shared" si="8"/>
        <v>65000</v>
      </c>
      <c r="O157" s="337">
        <v>0</v>
      </c>
      <c r="P157" s="337">
        <v>0</v>
      </c>
      <c r="Q157" s="337">
        <f>212000-212000</f>
        <v>0</v>
      </c>
      <c r="R157" s="337">
        <v>1200</v>
      </c>
      <c r="S157" s="337">
        <v>198000</v>
      </c>
      <c r="T157" s="337">
        <v>0</v>
      </c>
      <c r="U157" s="337">
        <f t="shared" si="9"/>
        <v>264200</v>
      </c>
    </row>
    <row r="158" spans="1:21" s="7" customFormat="1" ht="66.75" hidden="1" customHeight="1" outlineLevel="3" x14ac:dyDescent="0.2">
      <c r="A158" s="33"/>
      <c r="B158" s="413"/>
      <c r="C158" s="338" t="s">
        <v>201</v>
      </c>
      <c r="D158" s="407" t="s">
        <v>61</v>
      </c>
      <c r="E158" s="465"/>
      <c r="F158" s="373" t="s">
        <v>11</v>
      </c>
      <c r="G158" s="336">
        <v>0</v>
      </c>
      <c r="H158" s="336">
        <v>0</v>
      </c>
      <c r="I158" s="336">
        <v>0</v>
      </c>
      <c r="J158" s="336">
        <v>0</v>
      </c>
      <c r="K158" s="336">
        <v>0</v>
      </c>
      <c r="L158" s="337">
        <v>0</v>
      </c>
      <c r="M158" s="337">
        <f>7700-7700</f>
        <v>0</v>
      </c>
      <c r="N158" s="337">
        <f t="shared" si="8"/>
        <v>0</v>
      </c>
      <c r="O158" s="337">
        <v>0</v>
      </c>
      <c r="P158" s="337">
        <v>0</v>
      </c>
      <c r="Q158" s="337">
        <v>0</v>
      </c>
      <c r="R158" s="337">
        <v>0</v>
      </c>
      <c r="S158" s="337">
        <v>0</v>
      </c>
      <c r="T158" s="337">
        <v>16300</v>
      </c>
      <c r="U158" s="337">
        <f t="shared" si="9"/>
        <v>16300</v>
      </c>
    </row>
    <row r="159" spans="1:21" s="7" customFormat="1" ht="66" hidden="1" customHeight="1" outlineLevel="1" x14ac:dyDescent="0.2">
      <c r="A159" s="33"/>
      <c r="B159" s="413"/>
      <c r="C159" s="342" t="s">
        <v>273</v>
      </c>
      <c r="D159" s="383" t="s">
        <v>59</v>
      </c>
      <c r="E159" s="465"/>
      <c r="F159" s="373" t="s">
        <v>11</v>
      </c>
      <c r="G159" s="336">
        <v>0</v>
      </c>
      <c r="H159" s="336">
        <v>0</v>
      </c>
      <c r="I159" s="336">
        <v>0</v>
      </c>
      <c r="J159" s="336">
        <v>0</v>
      </c>
      <c r="K159" s="336">
        <v>0</v>
      </c>
      <c r="L159" s="337">
        <v>0</v>
      </c>
      <c r="M159" s="337">
        <v>0</v>
      </c>
      <c r="N159" s="337">
        <f t="shared" si="8"/>
        <v>0</v>
      </c>
      <c r="O159" s="337">
        <v>8500</v>
      </c>
      <c r="P159" s="337">
        <v>0</v>
      </c>
      <c r="Q159" s="337">
        <v>0</v>
      </c>
      <c r="R159" s="337">
        <v>0</v>
      </c>
      <c r="S159" s="337">
        <f>3860-3860</f>
        <v>0</v>
      </c>
      <c r="T159" s="337">
        <v>0</v>
      </c>
      <c r="U159" s="337">
        <f t="shared" si="9"/>
        <v>8500</v>
      </c>
    </row>
    <row r="160" spans="1:21" s="7" customFormat="1" ht="103.5" hidden="1" customHeight="1" outlineLevel="3" x14ac:dyDescent="0.2">
      <c r="A160" s="33"/>
      <c r="B160" s="413"/>
      <c r="C160" s="343" t="s">
        <v>212</v>
      </c>
      <c r="D160" s="405" t="s">
        <v>59</v>
      </c>
      <c r="E160" s="465"/>
      <c r="F160" s="373" t="s">
        <v>11</v>
      </c>
      <c r="G160" s="336">
        <v>0</v>
      </c>
      <c r="H160" s="336">
        <v>0</v>
      </c>
      <c r="I160" s="336">
        <v>0</v>
      </c>
      <c r="J160" s="336">
        <v>0</v>
      </c>
      <c r="K160" s="336">
        <v>0</v>
      </c>
      <c r="L160" s="337">
        <v>78600</v>
      </c>
      <c r="M160" s="337">
        <v>78400</v>
      </c>
      <c r="N160" s="337">
        <f t="shared" si="8"/>
        <v>157000</v>
      </c>
      <c r="O160" s="337">
        <v>78500</v>
      </c>
      <c r="P160" s="337">
        <v>0</v>
      </c>
      <c r="Q160" s="337">
        <v>0</v>
      </c>
      <c r="R160" s="337">
        <v>0</v>
      </c>
      <c r="S160" s="337">
        <v>0</v>
      </c>
      <c r="T160" s="337">
        <v>0</v>
      </c>
      <c r="U160" s="337">
        <f t="shared" si="9"/>
        <v>235500</v>
      </c>
    </row>
    <row r="161" spans="1:21" s="7" customFormat="1" ht="46.5" hidden="1" customHeight="1" outlineLevel="3" collapsed="1" x14ac:dyDescent="0.2">
      <c r="A161" s="33"/>
      <c r="B161" s="413"/>
      <c r="C161" s="345" t="s">
        <v>136</v>
      </c>
      <c r="D161" s="407" t="s">
        <v>256</v>
      </c>
      <c r="E161" s="465"/>
      <c r="F161" s="373" t="s">
        <v>11</v>
      </c>
      <c r="G161" s="336">
        <v>0</v>
      </c>
      <c r="H161" s="336">
        <v>0</v>
      </c>
      <c r="I161" s="336">
        <v>0</v>
      </c>
      <c r="J161" s="336">
        <v>0</v>
      </c>
      <c r="K161" s="336">
        <v>0</v>
      </c>
      <c r="L161" s="337">
        <v>46839</v>
      </c>
      <c r="M161" s="337">
        <v>52023</v>
      </c>
      <c r="N161" s="337">
        <f t="shared" si="8"/>
        <v>98862</v>
      </c>
      <c r="O161" s="337">
        <v>100985</v>
      </c>
      <c r="P161" s="337">
        <v>0</v>
      </c>
      <c r="Q161" s="337">
        <v>0</v>
      </c>
      <c r="R161" s="337">
        <v>0</v>
      </c>
      <c r="S161" s="337">
        <v>0</v>
      </c>
      <c r="T161" s="337">
        <v>0</v>
      </c>
      <c r="U161" s="337">
        <f t="shared" si="9"/>
        <v>199847</v>
      </c>
    </row>
    <row r="162" spans="1:21" s="7" customFormat="1" ht="72.75" hidden="1" customHeight="1" x14ac:dyDescent="0.2">
      <c r="A162" s="33"/>
      <c r="B162" s="413"/>
      <c r="C162" s="333" t="s">
        <v>137</v>
      </c>
      <c r="D162" s="407" t="s">
        <v>61</v>
      </c>
      <c r="E162" s="465"/>
      <c r="F162" s="373" t="s">
        <v>11</v>
      </c>
      <c r="G162" s="336">
        <v>0</v>
      </c>
      <c r="H162" s="336">
        <v>0</v>
      </c>
      <c r="I162" s="336">
        <v>0</v>
      </c>
      <c r="J162" s="336">
        <v>0</v>
      </c>
      <c r="K162" s="336">
        <v>0</v>
      </c>
      <c r="L162" s="337">
        <v>487872.01</v>
      </c>
      <c r="M162" s="337">
        <f>565781.7-700</f>
        <v>565081.69999999995</v>
      </c>
      <c r="N162" s="395">
        <f t="shared" si="8"/>
        <v>1052953.71</v>
      </c>
      <c r="O162" s="395">
        <v>606173.69999999995</v>
      </c>
      <c r="P162" s="395">
        <v>715064.5</v>
      </c>
      <c r="Q162" s="395">
        <f>777154.5-28938.68-1431.415</f>
        <v>746784.40499999991</v>
      </c>
      <c r="R162" s="395">
        <f>837218.4-31837.45</f>
        <v>805380.95000000007</v>
      </c>
      <c r="S162" s="395">
        <f>902652.4-74671.29</f>
        <v>827981.11</v>
      </c>
      <c r="T162" s="395">
        <v>973021.7</v>
      </c>
      <c r="U162" s="395">
        <f t="shared" si="9"/>
        <v>5727360.0750000002</v>
      </c>
    </row>
    <row r="163" spans="1:21" s="7" customFormat="1" ht="56.25" hidden="1" customHeight="1" outlineLevel="1" x14ac:dyDescent="0.2">
      <c r="A163" s="33"/>
      <c r="B163" s="413"/>
      <c r="C163" s="338" t="s">
        <v>187</v>
      </c>
      <c r="D163" s="408">
        <v>2021</v>
      </c>
      <c r="E163" s="465"/>
      <c r="F163" s="373" t="s">
        <v>11</v>
      </c>
      <c r="G163" s="336">
        <v>0</v>
      </c>
      <c r="H163" s="337">
        <v>0</v>
      </c>
      <c r="I163" s="337">
        <v>0</v>
      </c>
      <c r="J163" s="337">
        <v>0</v>
      </c>
      <c r="K163" s="337">
        <v>0</v>
      </c>
      <c r="L163" s="337">
        <v>241.5</v>
      </c>
      <c r="M163" s="337">
        <v>0</v>
      </c>
      <c r="N163" s="337">
        <f t="shared" si="8"/>
        <v>241.5</v>
      </c>
      <c r="O163" s="337">
        <v>0</v>
      </c>
      <c r="P163" s="337">
        <v>0</v>
      </c>
      <c r="Q163" s="337">
        <v>0</v>
      </c>
      <c r="R163" s="337">
        <v>0</v>
      </c>
      <c r="S163" s="337">
        <v>0</v>
      </c>
      <c r="T163" s="337">
        <v>0</v>
      </c>
      <c r="U163" s="337">
        <f t="shared" si="9"/>
        <v>241.5</v>
      </c>
    </row>
    <row r="164" spans="1:21" s="7" customFormat="1" ht="54.75" hidden="1" customHeight="1" outlineLevel="1" x14ac:dyDescent="0.2">
      <c r="A164" s="76"/>
      <c r="B164" s="413"/>
      <c r="C164" s="338" t="s">
        <v>202</v>
      </c>
      <c r="D164" s="408">
        <v>2021</v>
      </c>
      <c r="E164" s="465"/>
      <c r="F164" s="373" t="s">
        <v>11</v>
      </c>
      <c r="G164" s="336">
        <v>0</v>
      </c>
      <c r="H164" s="337">
        <v>0</v>
      </c>
      <c r="I164" s="337">
        <v>0</v>
      </c>
      <c r="J164" s="337">
        <v>0</v>
      </c>
      <c r="K164" s="337">
        <v>0</v>
      </c>
      <c r="L164" s="337">
        <f>0+400</f>
        <v>400</v>
      </c>
      <c r="M164" s="337">
        <v>0</v>
      </c>
      <c r="N164" s="337">
        <f t="shared" si="8"/>
        <v>400</v>
      </c>
      <c r="O164" s="337">
        <v>0</v>
      </c>
      <c r="P164" s="337">
        <v>0</v>
      </c>
      <c r="Q164" s="337">
        <v>0</v>
      </c>
      <c r="R164" s="337">
        <v>0</v>
      </c>
      <c r="S164" s="337">
        <v>0</v>
      </c>
      <c r="T164" s="337">
        <v>0</v>
      </c>
      <c r="U164" s="337">
        <f t="shared" si="9"/>
        <v>400</v>
      </c>
    </row>
    <row r="165" spans="1:21" s="7" customFormat="1" ht="44.25" hidden="1" customHeight="1" outlineLevel="1" x14ac:dyDescent="0.2">
      <c r="A165" s="33"/>
      <c r="B165" s="413"/>
      <c r="C165" s="338" t="s">
        <v>138</v>
      </c>
      <c r="D165" s="408">
        <v>2021</v>
      </c>
      <c r="E165" s="465"/>
      <c r="F165" s="373" t="s">
        <v>11</v>
      </c>
      <c r="G165" s="336">
        <v>0</v>
      </c>
      <c r="H165" s="337">
        <v>0</v>
      </c>
      <c r="I165" s="337">
        <v>0</v>
      </c>
      <c r="J165" s="337">
        <v>0</v>
      </c>
      <c r="K165" s="337">
        <v>0</v>
      </c>
      <c r="L165" s="337">
        <f>0+300</f>
        <v>300</v>
      </c>
      <c r="M165" s="337">
        <v>0</v>
      </c>
      <c r="N165" s="337">
        <f t="shared" si="8"/>
        <v>300</v>
      </c>
      <c r="O165" s="337">
        <v>0</v>
      </c>
      <c r="P165" s="337">
        <v>0</v>
      </c>
      <c r="Q165" s="337">
        <v>0</v>
      </c>
      <c r="R165" s="337">
        <v>0</v>
      </c>
      <c r="S165" s="337">
        <v>0</v>
      </c>
      <c r="T165" s="337">
        <v>0</v>
      </c>
      <c r="U165" s="337">
        <f t="shared" si="9"/>
        <v>300</v>
      </c>
    </row>
    <row r="166" spans="1:21" s="7" customFormat="1" ht="47.25" hidden="1" customHeight="1" outlineLevel="1" x14ac:dyDescent="0.2">
      <c r="A166" s="33"/>
      <c r="B166" s="413"/>
      <c r="C166" s="338" t="s">
        <v>188</v>
      </c>
      <c r="D166" s="408">
        <v>2021</v>
      </c>
      <c r="E166" s="465"/>
      <c r="F166" s="373" t="s">
        <v>11</v>
      </c>
      <c r="G166" s="336">
        <v>0</v>
      </c>
      <c r="H166" s="337">
        <v>0</v>
      </c>
      <c r="I166" s="337">
        <v>0</v>
      </c>
      <c r="J166" s="337">
        <v>0</v>
      </c>
      <c r="K166" s="337">
        <v>0</v>
      </c>
      <c r="L166" s="337">
        <v>2397</v>
      </c>
      <c r="M166" s="337">
        <v>0</v>
      </c>
      <c r="N166" s="337">
        <f t="shared" si="8"/>
        <v>2397</v>
      </c>
      <c r="O166" s="337">
        <v>0</v>
      </c>
      <c r="P166" s="337">
        <v>0</v>
      </c>
      <c r="Q166" s="337">
        <v>0</v>
      </c>
      <c r="R166" s="337">
        <v>0</v>
      </c>
      <c r="S166" s="337">
        <v>0</v>
      </c>
      <c r="T166" s="337">
        <v>0</v>
      </c>
      <c r="U166" s="337">
        <f t="shared" si="9"/>
        <v>2397</v>
      </c>
    </row>
    <row r="167" spans="1:21" s="7" customFormat="1" ht="39" hidden="1" customHeight="1" outlineLevel="1" x14ac:dyDescent="0.2">
      <c r="A167" s="33"/>
      <c r="B167" s="413"/>
      <c r="C167" s="338" t="s">
        <v>139</v>
      </c>
      <c r="D167" s="409">
        <v>2022</v>
      </c>
      <c r="E167" s="465"/>
      <c r="F167" s="373" t="s">
        <v>11</v>
      </c>
      <c r="G167" s="336">
        <v>0</v>
      </c>
      <c r="H167" s="337">
        <v>0</v>
      </c>
      <c r="I167" s="337">
        <v>0</v>
      </c>
      <c r="J167" s="337">
        <v>0</v>
      </c>
      <c r="K167" s="337">
        <v>0</v>
      </c>
      <c r="L167" s="337">
        <v>0</v>
      </c>
      <c r="M167" s="337">
        <v>2500</v>
      </c>
      <c r="N167" s="337">
        <f t="shared" si="8"/>
        <v>2500</v>
      </c>
      <c r="O167" s="337">
        <v>0</v>
      </c>
      <c r="P167" s="337">
        <v>0</v>
      </c>
      <c r="Q167" s="337">
        <v>0</v>
      </c>
      <c r="R167" s="337">
        <v>0</v>
      </c>
      <c r="S167" s="337">
        <v>0</v>
      </c>
      <c r="T167" s="337">
        <v>0</v>
      </c>
      <c r="U167" s="337">
        <f t="shared" si="9"/>
        <v>2500</v>
      </c>
    </row>
    <row r="168" spans="1:21" s="7" customFormat="1" ht="43.5" hidden="1" customHeight="1" outlineLevel="1" collapsed="1" x14ac:dyDescent="0.2">
      <c r="A168" s="33"/>
      <c r="B168" s="413"/>
      <c r="C168" s="338" t="s">
        <v>140</v>
      </c>
      <c r="D168" s="408" t="s">
        <v>61</v>
      </c>
      <c r="E168" s="465"/>
      <c r="F168" s="373" t="s">
        <v>11</v>
      </c>
      <c r="G168" s="336">
        <v>0</v>
      </c>
      <c r="H168" s="337">
        <v>0</v>
      </c>
      <c r="I168" s="337">
        <v>0</v>
      </c>
      <c r="J168" s="337">
        <v>0</v>
      </c>
      <c r="K168" s="337">
        <v>0</v>
      </c>
      <c r="L168" s="337">
        <v>0</v>
      </c>
      <c r="M168" s="337">
        <v>6400</v>
      </c>
      <c r="N168" s="337">
        <f t="shared" si="8"/>
        <v>6400</v>
      </c>
      <c r="O168" s="337">
        <v>0</v>
      </c>
      <c r="P168" s="337">
        <v>0</v>
      </c>
      <c r="Q168" s="337">
        <v>0</v>
      </c>
      <c r="R168" s="337">
        <v>0</v>
      </c>
      <c r="S168" s="337">
        <f>18000-18000</f>
        <v>0</v>
      </c>
      <c r="T168" s="337">
        <v>19000</v>
      </c>
      <c r="U168" s="337">
        <f t="shared" si="9"/>
        <v>25400</v>
      </c>
    </row>
    <row r="169" spans="1:21" s="7" customFormat="1" ht="49.5" hidden="1" customHeight="1" outlineLevel="1" x14ac:dyDescent="0.2">
      <c r="A169" s="33"/>
      <c r="B169" s="413"/>
      <c r="C169" s="338" t="s">
        <v>141</v>
      </c>
      <c r="D169" s="408" t="s">
        <v>59</v>
      </c>
      <c r="E169" s="465"/>
      <c r="F169" s="373" t="s">
        <v>11</v>
      </c>
      <c r="G169" s="336">
        <v>0</v>
      </c>
      <c r="H169" s="337">
        <v>0</v>
      </c>
      <c r="I169" s="337">
        <v>0</v>
      </c>
      <c r="J169" s="337">
        <v>0</v>
      </c>
      <c r="K169" s="337">
        <v>0</v>
      </c>
      <c r="L169" s="337">
        <v>0</v>
      </c>
      <c r="M169" s="337">
        <v>2600</v>
      </c>
      <c r="N169" s="337">
        <f t="shared" si="8"/>
        <v>2600</v>
      </c>
      <c r="O169" s="337">
        <v>0</v>
      </c>
      <c r="P169" s="337">
        <v>0</v>
      </c>
      <c r="Q169" s="337">
        <v>0</v>
      </c>
      <c r="R169" s="337">
        <v>0</v>
      </c>
      <c r="S169" s="337">
        <v>0</v>
      </c>
      <c r="T169" s="337">
        <v>0</v>
      </c>
      <c r="U169" s="337">
        <f t="shared" si="9"/>
        <v>2600</v>
      </c>
    </row>
    <row r="170" spans="1:21" s="7" customFormat="1" ht="47.25" hidden="1" customHeight="1" outlineLevel="1" x14ac:dyDescent="0.2">
      <c r="A170" s="33"/>
      <c r="B170" s="413"/>
      <c r="C170" s="338" t="s">
        <v>142</v>
      </c>
      <c r="D170" s="408" t="s">
        <v>59</v>
      </c>
      <c r="E170" s="465"/>
      <c r="F170" s="373" t="s">
        <v>11</v>
      </c>
      <c r="G170" s="336">
        <v>0</v>
      </c>
      <c r="H170" s="337">
        <v>0</v>
      </c>
      <c r="I170" s="337">
        <v>0</v>
      </c>
      <c r="J170" s="337">
        <v>0</v>
      </c>
      <c r="K170" s="337">
        <v>0</v>
      </c>
      <c r="L170" s="337">
        <v>0</v>
      </c>
      <c r="M170" s="337">
        <v>1500</v>
      </c>
      <c r="N170" s="337">
        <f t="shared" si="8"/>
        <v>1500</v>
      </c>
      <c r="O170" s="337">
        <v>0</v>
      </c>
      <c r="P170" s="337">
        <v>0</v>
      </c>
      <c r="Q170" s="337">
        <v>0</v>
      </c>
      <c r="R170" s="337">
        <v>0</v>
      </c>
      <c r="S170" s="337">
        <v>0</v>
      </c>
      <c r="T170" s="337">
        <v>0</v>
      </c>
      <c r="U170" s="337">
        <f t="shared" si="9"/>
        <v>1500</v>
      </c>
    </row>
    <row r="171" spans="1:21" s="7" customFormat="1" ht="48" hidden="1" customHeight="1" outlineLevel="1" x14ac:dyDescent="0.2">
      <c r="A171" s="33"/>
      <c r="B171" s="413"/>
      <c r="C171" s="338" t="s">
        <v>143</v>
      </c>
      <c r="D171" s="408">
        <v>2022</v>
      </c>
      <c r="E171" s="465"/>
      <c r="F171" s="373" t="s">
        <v>11</v>
      </c>
      <c r="G171" s="336">
        <v>0</v>
      </c>
      <c r="H171" s="337">
        <v>0</v>
      </c>
      <c r="I171" s="337">
        <v>0</v>
      </c>
      <c r="J171" s="337">
        <v>0</v>
      </c>
      <c r="K171" s="337">
        <v>0</v>
      </c>
      <c r="L171" s="337">
        <v>0</v>
      </c>
      <c r="M171" s="337">
        <v>700</v>
      </c>
      <c r="N171" s="337">
        <f t="shared" si="8"/>
        <v>700</v>
      </c>
      <c r="O171" s="337">
        <v>0</v>
      </c>
      <c r="P171" s="337">
        <v>0</v>
      </c>
      <c r="Q171" s="337">
        <v>0</v>
      </c>
      <c r="R171" s="337">
        <v>0</v>
      </c>
      <c r="S171" s="337">
        <v>0</v>
      </c>
      <c r="T171" s="337">
        <v>0</v>
      </c>
      <c r="U171" s="337">
        <f t="shared" si="9"/>
        <v>700</v>
      </c>
    </row>
    <row r="172" spans="1:21" s="7" customFormat="1" ht="42.75" hidden="1" customHeight="1" outlineLevel="1" x14ac:dyDescent="0.2">
      <c r="A172" s="33"/>
      <c r="B172" s="413"/>
      <c r="C172" s="338" t="s">
        <v>144</v>
      </c>
      <c r="D172" s="100">
        <v>2023</v>
      </c>
      <c r="E172" s="465"/>
      <c r="F172" s="373" t="s">
        <v>11</v>
      </c>
      <c r="G172" s="336">
        <v>0</v>
      </c>
      <c r="H172" s="336">
        <v>0</v>
      </c>
      <c r="I172" s="336">
        <v>0</v>
      </c>
      <c r="J172" s="336">
        <v>0</v>
      </c>
      <c r="K172" s="336">
        <v>0</v>
      </c>
      <c r="L172" s="337">
        <v>0</v>
      </c>
      <c r="M172" s="337">
        <v>0</v>
      </c>
      <c r="N172" s="337">
        <f t="shared" si="8"/>
        <v>0</v>
      </c>
      <c r="O172" s="337">
        <v>400</v>
      </c>
      <c r="P172" s="337">
        <v>0</v>
      </c>
      <c r="Q172" s="337">
        <v>0</v>
      </c>
      <c r="R172" s="337">
        <v>0</v>
      </c>
      <c r="S172" s="337">
        <v>0</v>
      </c>
      <c r="T172" s="337">
        <v>0</v>
      </c>
      <c r="U172" s="337">
        <f t="shared" si="9"/>
        <v>400</v>
      </c>
    </row>
    <row r="173" spans="1:21" s="91" customFormat="1" ht="42" hidden="1" customHeight="1" outlineLevel="1" collapsed="1" x14ac:dyDescent="0.2">
      <c r="A173" s="33"/>
      <c r="B173" s="413"/>
      <c r="C173" s="342" t="s">
        <v>189</v>
      </c>
      <c r="D173" s="100">
        <v>2023</v>
      </c>
      <c r="E173" s="465"/>
      <c r="F173" s="373" t="s">
        <v>11</v>
      </c>
      <c r="G173" s="336">
        <v>0</v>
      </c>
      <c r="H173" s="336">
        <v>0</v>
      </c>
      <c r="I173" s="336">
        <v>0</v>
      </c>
      <c r="J173" s="336">
        <v>0</v>
      </c>
      <c r="K173" s="336">
        <v>0</v>
      </c>
      <c r="L173" s="337">
        <v>0</v>
      </c>
      <c r="M173" s="337">
        <v>0</v>
      </c>
      <c r="N173" s="337">
        <f t="shared" si="8"/>
        <v>0</v>
      </c>
      <c r="O173" s="337">
        <v>9800</v>
      </c>
      <c r="P173" s="337">
        <v>0</v>
      </c>
      <c r="Q173" s="337">
        <v>0</v>
      </c>
      <c r="R173" s="337">
        <v>0</v>
      </c>
      <c r="S173" s="337">
        <v>0</v>
      </c>
      <c r="T173" s="337">
        <f>13760-13760</f>
        <v>0</v>
      </c>
      <c r="U173" s="337">
        <f t="shared" si="9"/>
        <v>9800</v>
      </c>
    </row>
    <row r="174" spans="1:21" s="91" customFormat="1" ht="60" hidden="1" customHeight="1" outlineLevel="1" x14ac:dyDescent="0.2">
      <c r="A174" s="33"/>
      <c r="B174" s="413"/>
      <c r="C174" s="343" t="s">
        <v>145</v>
      </c>
      <c r="D174" s="92">
        <v>2023</v>
      </c>
      <c r="E174" s="465"/>
      <c r="F174" s="374" t="s">
        <v>11</v>
      </c>
      <c r="G174" s="350">
        <v>0</v>
      </c>
      <c r="H174" s="350">
        <v>0</v>
      </c>
      <c r="I174" s="350">
        <v>0</v>
      </c>
      <c r="J174" s="350">
        <v>0</v>
      </c>
      <c r="K174" s="350">
        <v>0</v>
      </c>
      <c r="L174" s="351">
        <v>0</v>
      </c>
      <c r="M174" s="351">
        <v>0</v>
      </c>
      <c r="N174" s="351">
        <f t="shared" si="8"/>
        <v>0</v>
      </c>
      <c r="O174" s="351">
        <v>4100</v>
      </c>
      <c r="P174" s="351">
        <v>0</v>
      </c>
      <c r="Q174" s="351">
        <v>0</v>
      </c>
      <c r="R174" s="351">
        <v>0</v>
      </c>
      <c r="S174" s="351">
        <v>0</v>
      </c>
      <c r="T174" s="351">
        <f>5757-5757</f>
        <v>0</v>
      </c>
      <c r="U174" s="351">
        <f t="shared" si="9"/>
        <v>4100</v>
      </c>
    </row>
    <row r="175" spans="1:21" s="7" customFormat="1" ht="46.5" hidden="1" customHeight="1" outlineLevel="1" x14ac:dyDescent="0.2">
      <c r="A175" s="33"/>
      <c r="B175" s="413"/>
      <c r="C175" s="338" t="s">
        <v>146</v>
      </c>
      <c r="D175" s="101">
        <v>2023</v>
      </c>
      <c r="E175" s="465"/>
      <c r="F175" s="373" t="s">
        <v>11</v>
      </c>
      <c r="G175" s="336">
        <v>0</v>
      </c>
      <c r="H175" s="336">
        <v>0</v>
      </c>
      <c r="I175" s="336">
        <v>0</v>
      </c>
      <c r="J175" s="336">
        <v>0</v>
      </c>
      <c r="K175" s="336">
        <v>0</v>
      </c>
      <c r="L175" s="337">
        <v>0</v>
      </c>
      <c r="M175" s="337">
        <v>0</v>
      </c>
      <c r="N175" s="337">
        <f t="shared" si="8"/>
        <v>0</v>
      </c>
      <c r="O175" s="337">
        <v>720</v>
      </c>
      <c r="P175" s="337">
        <v>0</v>
      </c>
      <c r="Q175" s="337">
        <v>0</v>
      </c>
      <c r="R175" s="337">
        <v>0</v>
      </c>
      <c r="S175" s="337">
        <v>0</v>
      </c>
      <c r="T175" s="337">
        <v>0</v>
      </c>
      <c r="U175" s="337">
        <f t="shared" si="9"/>
        <v>720</v>
      </c>
    </row>
    <row r="176" spans="1:21" s="7" customFormat="1" ht="86.25" hidden="1" customHeight="1" outlineLevel="1" x14ac:dyDescent="0.2">
      <c r="A176" s="33"/>
      <c r="B176" s="413"/>
      <c r="C176" s="338" t="s">
        <v>229</v>
      </c>
      <c r="D176" s="410" t="s">
        <v>73</v>
      </c>
      <c r="E176" s="465"/>
      <c r="F176" s="375" t="s">
        <v>11</v>
      </c>
      <c r="G176" s="353">
        <v>0</v>
      </c>
      <c r="H176" s="353">
        <v>0</v>
      </c>
      <c r="I176" s="353">
        <v>0</v>
      </c>
      <c r="J176" s="353">
        <v>0</v>
      </c>
      <c r="K176" s="353">
        <v>0</v>
      </c>
      <c r="L176" s="354">
        <v>0</v>
      </c>
      <c r="M176" s="354">
        <v>0</v>
      </c>
      <c r="N176" s="337">
        <f t="shared" si="8"/>
        <v>0</v>
      </c>
      <c r="O176" s="354">
        <v>0</v>
      </c>
      <c r="P176" s="337">
        <v>273</v>
      </c>
      <c r="Q176" s="353">
        <v>0</v>
      </c>
      <c r="R176" s="353">
        <v>0</v>
      </c>
      <c r="S176" s="353">
        <v>0</v>
      </c>
      <c r="T176" s="354">
        <f>700-700</f>
        <v>0</v>
      </c>
      <c r="U176" s="337">
        <f t="shared" si="9"/>
        <v>273</v>
      </c>
    </row>
    <row r="177" spans="1:21" s="7" customFormat="1" ht="39.75" hidden="1" customHeight="1" outlineLevel="1" collapsed="1" x14ac:dyDescent="0.2">
      <c r="A177" s="33"/>
      <c r="B177" s="413"/>
      <c r="C177" s="338" t="s">
        <v>147</v>
      </c>
      <c r="D177" s="410" t="s">
        <v>73</v>
      </c>
      <c r="E177" s="465"/>
      <c r="F177" s="375" t="s">
        <v>11</v>
      </c>
      <c r="G177" s="353">
        <v>0</v>
      </c>
      <c r="H177" s="353">
        <v>0</v>
      </c>
      <c r="I177" s="353">
        <v>0</v>
      </c>
      <c r="J177" s="353">
        <v>0</v>
      </c>
      <c r="K177" s="353">
        <v>0</v>
      </c>
      <c r="L177" s="354">
        <v>0</v>
      </c>
      <c r="M177" s="354">
        <v>0</v>
      </c>
      <c r="N177" s="337">
        <f t="shared" si="8"/>
        <v>0</v>
      </c>
      <c r="O177" s="354">
        <v>0</v>
      </c>
      <c r="P177" s="337">
        <v>3550</v>
      </c>
      <c r="Q177" s="354">
        <v>0</v>
      </c>
      <c r="R177" s="354">
        <v>0</v>
      </c>
      <c r="S177" s="337">
        <f>4250-4250</f>
        <v>0</v>
      </c>
      <c r="T177" s="354">
        <v>0</v>
      </c>
      <c r="U177" s="337">
        <f t="shared" si="9"/>
        <v>3550</v>
      </c>
    </row>
    <row r="178" spans="1:21" s="7" customFormat="1" ht="48" hidden="1" customHeight="1" outlineLevel="1" x14ac:dyDescent="0.2">
      <c r="A178" s="33"/>
      <c r="B178" s="413"/>
      <c r="C178" s="338" t="s">
        <v>222</v>
      </c>
      <c r="D178" s="410" t="s">
        <v>73</v>
      </c>
      <c r="E178" s="465"/>
      <c r="F178" s="375" t="s">
        <v>11</v>
      </c>
      <c r="G178" s="353">
        <v>0</v>
      </c>
      <c r="H178" s="353">
        <v>0</v>
      </c>
      <c r="I178" s="353">
        <v>0</v>
      </c>
      <c r="J178" s="353">
        <v>0</v>
      </c>
      <c r="K178" s="353">
        <v>0</v>
      </c>
      <c r="L178" s="354">
        <v>0</v>
      </c>
      <c r="M178" s="354">
        <v>0</v>
      </c>
      <c r="N178" s="337">
        <f t="shared" si="8"/>
        <v>0</v>
      </c>
      <c r="O178" s="354">
        <v>0</v>
      </c>
      <c r="P178" s="337">
        <v>1150</v>
      </c>
      <c r="Q178" s="353">
        <v>0</v>
      </c>
      <c r="R178" s="353">
        <v>0</v>
      </c>
      <c r="S178" s="353">
        <v>0</v>
      </c>
      <c r="T178" s="354">
        <f>700-700</f>
        <v>0</v>
      </c>
      <c r="U178" s="337">
        <f t="shared" si="9"/>
        <v>1150</v>
      </c>
    </row>
    <row r="179" spans="1:21" s="7" customFormat="1" ht="6.75" hidden="1" customHeight="1" outlineLevel="1" x14ac:dyDescent="0.2">
      <c r="A179" s="33"/>
      <c r="B179" s="413"/>
      <c r="C179" s="338" t="s">
        <v>223</v>
      </c>
      <c r="D179" s="410" t="s">
        <v>73</v>
      </c>
      <c r="E179" s="465"/>
      <c r="F179" s="375" t="s">
        <v>11</v>
      </c>
      <c r="G179" s="353">
        <v>0</v>
      </c>
      <c r="H179" s="353">
        <v>0</v>
      </c>
      <c r="I179" s="353">
        <v>0</v>
      </c>
      <c r="J179" s="353">
        <v>0</v>
      </c>
      <c r="K179" s="353">
        <v>0</v>
      </c>
      <c r="L179" s="354">
        <v>0</v>
      </c>
      <c r="M179" s="354">
        <v>0</v>
      </c>
      <c r="N179" s="337">
        <f t="shared" si="8"/>
        <v>0</v>
      </c>
      <c r="O179" s="354">
        <v>0</v>
      </c>
      <c r="P179" s="337">
        <v>420</v>
      </c>
      <c r="Q179" s="353">
        <v>0</v>
      </c>
      <c r="R179" s="353">
        <v>0</v>
      </c>
      <c r="S179" s="353">
        <v>0</v>
      </c>
      <c r="T179" s="354">
        <f>700-700</f>
        <v>0</v>
      </c>
      <c r="U179" s="337">
        <f t="shared" si="9"/>
        <v>420</v>
      </c>
    </row>
    <row r="180" spans="1:21" s="7" customFormat="1" ht="5.25" hidden="1" customHeight="1" outlineLevel="1" x14ac:dyDescent="0.2">
      <c r="A180" s="33"/>
      <c r="B180" s="413"/>
      <c r="C180" s="338" t="s">
        <v>224</v>
      </c>
      <c r="D180" s="410" t="s">
        <v>73</v>
      </c>
      <c r="E180" s="465"/>
      <c r="F180" s="375" t="s">
        <v>11</v>
      </c>
      <c r="G180" s="353">
        <v>0</v>
      </c>
      <c r="H180" s="353">
        <v>0</v>
      </c>
      <c r="I180" s="353">
        <v>0</v>
      </c>
      <c r="J180" s="353">
        <v>0</v>
      </c>
      <c r="K180" s="353">
        <v>0</v>
      </c>
      <c r="L180" s="354">
        <v>0</v>
      </c>
      <c r="M180" s="354">
        <v>0</v>
      </c>
      <c r="N180" s="337">
        <f t="shared" si="8"/>
        <v>0</v>
      </c>
      <c r="O180" s="354">
        <v>0</v>
      </c>
      <c r="P180" s="337">
        <v>5700</v>
      </c>
      <c r="Q180" s="353">
        <v>0</v>
      </c>
      <c r="R180" s="353">
        <v>0</v>
      </c>
      <c r="S180" s="353">
        <v>0</v>
      </c>
      <c r="T180" s="354">
        <f>700-700</f>
        <v>0</v>
      </c>
      <c r="U180" s="337">
        <f t="shared" si="9"/>
        <v>5700</v>
      </c>
    </row>
    <row r="181" spans="1:21" s="91" customFormat="1" ht="91.5" customHeight="1" outlineLevel="1" collapsed="1" x14ac:dyDescent="0.2">
      <c r="A181" s="33"/>
      <c r="B181" s="413"/>
      <c r="C181" s="338" t="s">
        <v>304</v>
      </c>
      <c r="D181" s="410" t="s">
        <v>305</v>
      </c>
      <c r="E181" s="465"/>
      <c r="F181" s="373" t="s">
        <v>299</v>
      </c>
      <c r="G181" s="353">
        <v>0</v>
      </c>
      <c r="H181" s="353">
        <v>0</v>
      </c>
      <c r="I181" s="353">
        <v>0</v>
      </c>
      <c r="J181" s="353">
        <v>0</v>
      </c>
      <c r="K181" s="353">
        <v>0</v>
      </c>
      <c r="L181" s="354">
        <v>0</v>
      </c>
      <c r="M181" s="354">
        <v>0</v>
      </c>
      <c r="N181" s="337">
        <f t="shared" si="8"/>
        <v>0</v>
      </c>
      <c r="O181" s="353">
        <v>0</v>
      </c>
      <c r="P181" s="353">
        <v>0</v>
      </c>
      <c r="Q181" s="353">
        <v>0</v>
      </c>
      <c r="R181" s="354">
        <v>29063.200000000001</v>
      </c>
      <c r="S181" s="354">
        <v>20000</v>
      </c>
      <c r="T181" s="337">
        <v>20000</v>
      </c>
      <c r="U181" s="337">
        <f t="shared" si="9"/>
        <v>69063.199999999997</v>
      </c>
    </row>
    <row r="182" spans="1:21" s="7" customFormat="1" ht="67.5" hidden="1" customHeight="1" outlineLevel="1" x14ac:dyDescent="0.2">
      <c r="A182" s="33"/>
      <c r="B182" s="413"/>
      <c r="C182" s="338" t="s">
        <v>226</v>
      </c>
      <c r="D182" s="410" t="s">
        <v>73</v>
      </c>
      <c r="E182" s="35"/>
      <c r="F182" s="375" t="s">
        <v>11</v>
      </c>
      <c r="G182" s="353">
        <v>0</v>
      </c>
      <c r="H182" s="353">
        <v>0</v>
      </c>
      <c r="I182" s="353">
        <v>0</v>
      </c>
      <c r="J182" s="353">
        <v>0</v>
      </c>
      <c r="K182" s="353">
        <v>0</v>
      </c>
      <c r="L182" s="354">
        <v>0</v>
      </c>
      <c r="M182" s="354">
        <v>0</v>
      </c>
      <c r="N182" s="337">
        <f t="shared" si="8"/>
        <v>0</v>
      </c>
      <c r="O182" s="353">
        <v>0</v>
      </c>
      <c r="P182" s="337">
        <v>12500</v>
      </c>
      <c r="Q182" s="353">
        <v>0</v>
      </c>
      <c r="R182" s="353">
        <v>0</v>
      </c>
      <c r="S182" s="353">
        <v>0</v>
      </c>
      <c r="T182" s="354">
        <f>700-700</f>
        <v>0</v>
      </c>
      <c r="U182" s="337">
        <f t="shared" si="9"/>
        <v>12500</v>
      </c>
    </row>
    <row r="183" spans="1:21" s="7" customFormat="1" ht="54" hidden="1" customHeight="1" outlineLevel="1" x14ac:dyDescent="0.2">
      <c r="A183" s="33"/>
      <c r="B183" s="413"/>
      <c r="C183" s="338" t="s">
        <v>227</v>
      </c>
      <c r="D183" s="410" t="s">
        <v>73</v>
      </c>
      <c r="E183" s="35"/>
      <c r="F183" s="375" t="s">
        <v>11</v>
      </c>
      <c r="G183" s="353">
        <v>0</v>
      </c>
      <c r="H183" s="353">
        <v>0</v>
      </c>
      <c r="I183" s="353">
        <v>0</v>
      </c>
      <c r="J183" s="353">
        <v>0</v>
      </c>
      <c r="K183" s="353">
        <v>0</v>
      </c>
      <c r="L183" s="354">
        <v>0</v>
      </c>
      <c r="M183" s="354">
        <v>0</v>
      </c>
      <c r="N183" s="337">
        <f t="shared" si="8"/>
        <v>0</v>
      </c>
      <c r="O183" s="353">
        <v>0</v>
      </c>
      <c r="P183" s="337">
        <v>5400</v>
      </c>
      <c r="Q183" s="353">
        <v>0</v>
      </c>
      <c r="R183" s="353">
        <v>0</v>
      </c>
      <c r="S183" s="353">
        <v>0</v>
      </c>
      <c r="T183" s="354">
        <f>700-700</f>
        <v>0</v>
      </c>
      <c r="U183" s="337">
        <f t="shared" si="9"/>
        <v>5400</v>
      </c>
    </row>
    <row r="184" spans="1:21" s="7" customFormat="1" ht="57" hidden="1" customHeight="1" outlineLevel="1" x14ac:dyDescent="0.2">
      <c r="A184" s="76"/>
      <c r="B184" s="413"/>
      <c r="C184" s="338" t="s">
        <v>228</v>
      </c>
      <c r="D184" s="410" t="s">
        <v>73</v>
      </c>
      <c r="E184" s="35"/>
      <c r="F184" s="375" t="s">
        <v>11</v>
      </c>
      <c r="G184" s="353">
        <v>0</v>
      </c>
      <c r="H184" s="353">
        <v>0</v>
      </c>
      <c r="I184" s="353">
        <v>0</v>
      </c>
      <c r="J184" s="353">
        <v>0</v>
      </c>
      <c r="K184" s="353">
        <v>0</v>
      </c>
      <c r="L184" s="354">
        <v>0</v>
      </c>
      <c r="M184" s="354">
        <v>0</v>
      </c>
      <c r="N184" s="337">
        <f t="shared" si="8"/>
        <v>0</v>
      </c>
      <c r="O184" s="353">
        <v>0</v>
      </c>
      <c r="P184" s="337">
        <v>2800</v>
      </c>
      <c r="Q184" s="353">
        <v>0</v>
      </c>
      <c r="R184" s="353">
        <v>0</v>
      </c>
      <c r="S184" s="353">
        <v>0</v>
      </c>
      <c r="T184" s="354">
        <f>700-700</f>
        <v>0</v>
      </c>
      <c r="U184" s="337">
        <f t="shared" si="9"/>
        <v>2800</v>
      </c>
    </row>
    <row r="185" spans="1:21" s="7" customFormat="1" ht="40.5" hidden="1" customHeight="1" outlineLevel="1" x14ac:dyDescent="0.2">
      <c r="A185" s="33"/>
      <c r="B185" s="413"/>
      <c r="C185" s="338" t="s">
        <v>243</v>
      </c>
      <c r="D185" s="410" t="s">
        <v>73</v>
      </c>
      <c r="E185" s="35"/>
      <c r="F185" s="375" t="s">
        <v>11</v>
      </c>
      <c r="G185" s="353">
        <v>0</v>
      </c>
      <c r="H185" s="353">
        <v>0</v>
      </c>
      <c r="I185" s="353">
        <v>0</v>
      </c>
      <c r="J185" s="353">
        <v>0</v>
      </c>
      <c r="K185" s="353">
        <v>0</v>
      </c>
      <c r="L185" s="354">
        <v>0</v>
      </c>
      <c r="M185" s="354">
        <v>0</v>
      </c>
      <c r="N185" s="337">
        <f t="shared" si="8"/>
        <v>0</v>
      </c>
      <c r="O185" s="353">
        <v>0</v>
      </c>
      <c r="P185" s="337">
        <v>650</v>
      </c>
      <c r="Q185" s="353">
        <v>0</v>
      </c>
      <c r="R185" s="337">
        <v>0</v>
      </c>
      <c r="S185" s="353">
        <v>0</v>
      </c>
      <c r="T185" s="337">
        <v>824</v>
      </c>
      <c r="U185" s="337">
        <f t="shared" si="9"/>
        <v>1474</v>
      </c>
    </row>
    <row r="186" spans="1:21" s="7" customFormat="1" ht="50.25" customHeight="1" outlineLevel="1" collapsed="1" x14ac:dyDescent="0.2">
      <c r="A186" s="33"/>
      <c r="B186" s="413"/>
      <c r="C186" s="338" t="s">
        <v>306</v>
      </c>
      <c r="D186" s="410" t="s">
        <v>305</v>
      </c>
      <c r="E186" s="35"/>
      <c r="F186" s="375" t="s">
        <v>11</v>
      </c>
      <c r="G186" s="353">
        <v>0</v>
      </c>
      <c r="H186" s="353">
        <v>0</v>
      </c>
      <c r="I186" s="353">
        <v>0</v>
      </c>
      <c r="J186" s="353">
        <v>0</v>
      </c>
      <c r="K186" s="353">
        <v>0</v>
      </c>
      <c r="L186" s="354">
        <v>0</v>
      </c>
      <c r="M186" s="354">
        <v>0</v>
      </c>
      <c r="N186" s="337">
        <f t="shared" si="8"/>
        <v>0</v>
      </c>
      <c r="O186" s="353">
        <v>0</v>
      </c>
      <c r="P186" s="353">
        <v>0</v>
      </c>
      <c r="Q186" s="353">
        <v>0</v>
      </c>
      <c r="R186" s="354">
        <v>16500</v>
      </c>
      <c r="S186" s="337">
        <v>24750</v>
      </c>
      <c r="T186" s="353">
        <v>127875</v>
      </c>
      <c r="U186" s="337">
        <f t="shared" si="9"/>
        <v>169125</v>
      </c>
    </row>
    <row r="187" spans="1:21" s="7" customFormat="1" ht="45.75" customHeight="1" outlineLevel="1" x14ac:dyDescent="0.2">
      <c r="A187" s="33"/>
      <c r="B187" s="413"/>
      <c r="C187" s="338" t="s">
        <v>307</v>
      </c>
      <c r="D187" s="410">
        <v>2028</v>
      </c>
      <c r="E187" s="35"/>
      <c r="F187" s="375" t="s">
        <v>11</v>
      </c>
      <c r="G187" s="353">
        <v>0</v>
      </c>
      <c r="H187" s="353">
        <v>0</v>
      </c>
      <c r="I187" s="353">
        <v>0</v>
      </c>
      <c r="J187" s="353">
        <v>0</v>
      </c>
      <c r="K187" s="353">
        <v>0</v>
      </c>
      <c r="L187" s="354">
        <v>0</v>
      </c>
      <c r="M187" s="354">
        <v>0</v>
      </c>
      <c r="N187" s="337">
        <f t="shared" si="8"/>
        <v>0</v>
      </c>
      <c r="O187" s="353">
        <v>0</v>
      </c>
      <c r="P187" s="353">
        <v>0</v>
      </c>
      <c r="Q187" s="353">
        <v>0</v>
      </c>
      <c r="R187" s="354">
        <v>0</v>
      </c>
      <c r="S187" s="337">
        <f>120-120</f>
        <v>0</v>
      </c>
      <c r="T187" s="353">
        <v>60000</v>
      </c>
      <c r="U187" s="337">
        <f t="shared" si="9"/>
        <v>60000</v>
      </c>
    </row>
    <row r="188" spans="1:21" s="7" customFormat="1" ht="41.25" hidden="1" customHeight="1" outlineLevel="1" x14ac:dyDescent="0.2">
      <c r="A188" s="33"/>
      <c r="B188" s="413"/>
      <c r="C188" s="342" t="s">
        <v>287</v>
      </c>
      <c r="D188" s="410" t="s">
        <v>73</v>
      </c>
      <c r="E188" s="35"/>
      <c r="F188" s="375" t="s">
        <v>11</v>
      </c>
      <c r="G188" s="353">
        <v>0</v>
      </c>
      <c r="H188" s="353">
        <v>0</v>
      </c>
      <c r="I188" s="353">
        <v>0</v>
      </c>
      <c r="J188" s="353">
        <v>0</v>
      </c>
      <c r="K188" s="353">
        <v>0</v>
      </c>
      <c r="L188" s="354">
        <v>0</v>
      </c>
      <c r="M188" s="354">
        <v>0</v>
      </c>
      <c r="N188" s="337">
        <f t="shared" si="8"/>
        <v>0</v>
      </c>
      <c r="O188" s="353">
        <v>0</v>
      </c>
      <c r="P188" s="353">
        <v>0</v>
      </c>
      <c r="Q188" s="354">
        <v>0</v>
      </c>
      <c r="R188" s="337">
        <f>160-160</f>
        <v>0</v>
      </c>
      <c r="S188" s="353">
        <v>0</v>
      </c>
      <c r="T188" s="337">
        <v>179</v>
      </c>
      <c r="U188" s="337">
        <f t="shared" si="9"/>
        <v>179</v>
      </c>
    </row>
    <row r="189" spans="1:21" s="7" customFormat="1" ht="42" customHeight="1" outlineLevel="1" x14ac:dyDescent="0.2">
      <c r="A189" s="76"/>
      <c r="B189" s="69"/>
      <c r="C189" s="415" t="s">
        <v>308</v>
      </c>
      <c r="D189" s="411">
        <v>2027</v>
      </c>
      <c r="E189" s="414"/>
      <c r="F189" s="375" t="s">
        <v>11</v>
      </c>
      <c r="G189" s="353">
        <v>0</v>
      </c>
      <c r="H189" s="353">
        <v>0</v>
      </c>
      <c r="I189" s="353">
        <v>0</v>
      </c>
      <c r="J189" s="353">
        <v>0</v>
      </c>
      <c r="K189" s="353">
        <v>0</v>
      </c>
      <c r="L189" s="354">
        <v>0</v>
      </c>
      <c r="M189" s="354">
        <v>0</v>
      </c>
      <c r="N189" s="337">
        <f t="shared" si="8"/>
        <v>0</v>
      </c>
      <c r="O189" s="353">
        <v>0</v>
      </c>
      <c r="P189" s="353">
        <v>0</v>
      </c>
      <c r="Q189" s="354">
        <v>0</v>
      </c>
      <c r="R189" s="337">
        <f>120-120</f>
        <v>0</v>
      </c>
      <c r="S189" s="353">
        <v>1100</v>
      </c>
      <c r="T189" s="354">
        <v>0</v>
      </c>
      <c r="U189" s="337">
        <f t="shared" si="9"/>
        <v>1100</v>
      </c>
    </row>
    <row r="190" spans="1:21" s="7" customFormat="1" ht="45" hidden="1" customHeight="1" outlineLevel="1" x14ac:dyDescent="0.2">
      <c r="A190" s="33"/>
      <c r="B190" s="413"/>
      <c r="C190" s="343" t="s">
        <v>151</v>
      </c>
      <c r="D190" s="411" t="s">
        <v>73</v>
      </c>
      <c r="E190" s="35"/>
      <c r="F190" s="376" t="s">
        <v>11</v>
      </c>
      <c r="G190" s="353">
        <v>0</v>
      </c>
      <c r="H190" s="353">
        <v>0</v>
      </c>
      <c r="I190" s="353">
        <v>0</v>
      </c>
      <c r="J190" s="353">
        <v>0</v>
      </c>
      <c r="K190" s="353">
        <v>0</v>
      </c>
      <c r="L190" s="354">
        <v>0</v>
      </c>
      <c r="M190" s="354">
        <v>0</v>
      </c>
      <c r="N190" s="337">
        <f t="shared" si="8"/>
        <v>0</v>
      </c>
      <c r="O190" s="353">
        <v>0</v>
      </c>
      <c r="P190" s="353">
        <v>0</v>
      </c>
      <c r="Q190" s="353">
        <v>0</v>
      </c>
      <c r="R190" s="354">
        <v>0</v>
      </c>
      <c r="S190" s="337">
        <f>154-154</f>
        <v>0</v>
      </c>
      <c r="T190" s="353">
        <v>0</v>
      </c>
      <c r="U190" s="337">
        <f t="shared" si="9"/>
        <v>0</v>
      </c>
    </row>
    <row r="191" spans="1:21" s="7" customFormat="1" ht="51" hidden="1" customHeight="1" outlineLevel="1" x14ac:dyDescent="0.2">
      <c r="A191" s="33"/>
      <c r="B191" s="413"/>
      <c r="C191" s="338" t="s">
        <v>230</v>
      </c>
      <c r="D191" s="410" t="s">
        <v>73</v>
      </c>
      <c r="E191" s="35"/>
      <c r="F191" s="375" t="s">
        <v>11</v>
      </c>
      <c r="G191" s="353">
        <v>0</v>
      </c>
      <c r="H191" s="353">
        <v>0</v>
      </c>
      <c r="I191" s="353">
        <v>0</v>
      </c>
      <c r="J191" s="353">
        <v>0</v>
      </c>
      <c r="K191" s="353">
        <v>0</v>
      </c>
      <c r="L191" s="354">
        <v>0</v>
      </c>
      <c r="M191" s="354">
        <v>0</v>
      </c>
      <c r="N191" s="337">
        <f t="shared" si="8"/>
        <v>0</v>
      </c>
      <c r="O191" s="353">
        <v>0</v>
      </c>
      <c r="P191" s="353">
        <v>0</v>
      </c>
      <c r="Q191" s="353">
        <v>0</v>
      </c>
      <c r="R191" s="354">
        <v>0</v>
      </c>
      <c r="S191" s="337">
        <f>1343-1343</f>
        <v>0</v>
      </c>
      <c r="T191" s="353">
        <v>0</v>
      </c>
      <c r="U191" s="337">
        <f t="shared" si="9"/>
        <v>0</v>
      </c>
    </row>
    <row r="192" spans="1:21" s="7" customFormat="1" ht="39" hidden="1" customHeight="1" outlineLevel="1" x14ac:dyDescent="0.2">
      <c r="A192" s="33"/>
      <c r="B192" s="413"/>
      <c r="C192" s="338" t="s">
        <v>288</v>
      </c>
      <c r="D192" s="410" t="s">
        <v>73</v>
      </c>
      <c r="E192" s="35"/>
      <c r="F192" s="375" t="s">
        <v>11</v>
      </c>
      <c r="G192" s="353">
        <v>0</v>
      </c>
      <c r="H192" s="353">
        <v>0</v>
      </c>
      <c r="I192" s="353">
        <v>0</v>
      </c>
      <c r="J192" s="353">
        <v>0</v>
      </c>
      <c r="K192" s="353">
        <v>0</v>
      </c>
      <c r="L192" s="354">
        <v>0</v>
      </c>
      <c r="M192" s="354">
        <v>0</v>
      </c>
      <c r="N192" s="337">
        <f t="shared" si="8"/>
        <v>0</v>
      </c>
      <c r="O192" s="353">
        <v>0</v>
      </c>
      <c r="P192" s="353">
        <v>0</v>
      </c>
      <c r="Q192" s="353">
        <v>0</v>
      </c>
      <c r="R192" s="354">
        <v>0</v>
      </c>
      <c r="S192" s="337">
        <f>150-150</f>
        <v>0</v>
      </c>
      <c r="T192" s="353">
        <v>0</v>
      </c>
      <c r="U192" s="337">
        <f t="shared" si="9"/>
        <v>0</v>
      </c>
    </row>
    <row r="193" spans="1:21" s="7" customFormat="1" ht="48" hidden="1" customHeight="1" outlineLevel="1" x14ac:dyDescent="0.2">
      <c r="A193" s="33"/>
      <c r="B193" s="413"/>
      <c r="C193" s="338" t="s">
        <v>289</v>
      </c>
      <c r="D193" s="410" t="s">
        <v>73</v>
      </c>
      <c r="E193" s="35"/>
      <c r="F193" s="375" t="s">
        <v>11</v>
      </c>
      <c r="G193" s="353">
        <v>0</v>
      </c>
      <c r="H193" s="353">
        <v>0</v>
      </c>
      <c r="I193" s="353">
        <v>0</v>
      </c>
      <c r="J193" s="353">
        <v>0</v>
      </c>
      <c r="K193" s="353">
        <v>0</v>
      </c>
      <c r="L193" s="354">
        <v>0</v>
      </c>
      <c r="M193" s="354">
        <v>0</v>
      </c>
      <c r="N193" s="337">
        <f t="shared" si="8"/>
        <v>0</v>
      </c>
      <c r="O193" s="353">
        <v>0</v>
      </c>
      <c r="P193" s="353">
        <v>0</v>
      </c>
      <c r="Q193" s="353">
        <v>0</v>
      </c>
      <c r="R193" s="354">
        <v>0</v>
      </c>
      <c r="S193" s="353">
        <v>0</v>
      </c>
      <c r="T193" s="337">
        <v>190</v>
      </c>
      <c r="U193" s="337">
        <f t="shared" si="9"/>
        <v>190</v>
      </c>
    </row>
    <row r="194" spans="1:21" s="7" customFormat="1" ht="46.5" hidden="1" customHeight="1" outlineLevel="1" collapsed="1" x14ac:dyDescent="0.2">
      <c r="A194" s="33"/>
      <c r="B194" s="413"/>
      <c r="C194" s="338" t="s">
        <v>290</v>
      </c>
      <c r="D194" s="410" t="s">
        <v>73</v>
      </c>
      <c r="E194" s="35"/>
      <c r="F194" s="375" t="s">
        <v>11</v>
      </c>
      <c r="G194" s="353">
        <v>0</v>
      </c>
      <c r="H194" s="353">
        <v>0</v>
      </c>
      <c r="I194" s="353">
        <v>0</v>
      </c>
      <c r="J194" s="353">
        <v>0</v>
      </c>
      <c r="K194" s="353">
        <v>0</v>
      </c>
      <c r="L194" s="354">
        <v>0</v>
      </c>
      <c r="M194" s="354">
        <v>0</v>
      </c>
      <c r="N194" s="337">
        <f t="shared" si="8"/>
        <v>0</v>
      </c>
      <c r="O194" s="353">
        <v>0</v>
      </c>
      <c r="P194" s="353">
        <v>0</v>
      </c>
      <c r="Q194" s="353">
        <v>0</v>
      </c>
      <c r="R194" s="354">
        <v>0</v>
      </c>
      <c r="S194" s="337">
        <f>134-134</f>
        <v>0</v>
      </c>
      <c r="T194" s="353">
        <v>0</v>
      </c>
      <c r="U194" s="337">
        <f t="shared" si="9"/>
        <v>0</v>
      </c>
    </row>
    <row r="195" spans="1:21" s="7" customFormat="1" ht="37.5" hidden="1" customHeight="1" outlineLevel="1" x14ac:dyDescent="0.2">
      <c r="A195" s="33"/>
      <c r="B195" s="413"/>
      <c r="C195" s="338" t="s">
        <v>291</v>
      </c>
      <c r="D195" s="410" t="s">
        <v>73</v>
      </c>
      <c r="E195" s="35"/>
      <c r="F195" s="375" t="s">
        <v>11</v>
      </c>
      <c r="G195" s="353">
        <v>0</v>
      </c>
      <c r="H195" s="353">
        <v>0</v>
      </c>
      <c r="I195" s="353">
        <v>0</v>
      </c>
      <c r="J195" s="353">
        <v>0</v>
      </c>
      <c r="K195" s="353">
        <v>0</v>
      </c>
      <c r="L195" s="354">
        <v>0</v>
      </c>
      <c r="M195" s="354">
        <v>0</v>
      </c>
      <c r="N195" s="337">
        <f t="shared" si="8"/>
        <v>0</v>
      </c>
      <c r="O195" s="353">
        <v>0</v>
      </c>
      <c r="P195" s="353">
        <v>0</v>
      </c>
      <c r="Q195" s="353">
        <v>0</v>
      </c>
      <c r="R195" s="354">
        <v>0</v>
      </c>
      <c r="S195" s="337">
        <f>196-196</f>
        <v>0</v>
      </c>
      <c r="T195" s="353">
        <v>0</v>
      </c>
      <c r="U195" s="337">
        <f t="shared" si="9"/>
        <v>0</v>
      </c>
    </row>
    <row r="196" spans="1:21" s="91" customFormat="1" ht="55.5" hidden="1" customHeight="1" outlineLevel="1" x14ac:dyDescent="0.2">
      <c r="A196" s="33"/>
      <c r="B196" s="413"/>
      <c r="C196" s="338" t="s">
        <v>152</v>
      </c>
      <c r="D196" s="410" t="s">
        <v>73</v>
      </c>
      <c r="E196" s="35"/>
      <c r="F196" s="375" t="s">
        <v>11</v>
      </c>
      <c r="G196" s="353">
        <v>0</v>
      </c>
      <c r="H196" s="353">
        <v>0</v>
      </c>
      <c r="I196" s="353">
        <v>0</v>
      </c>
      <c r="J196" s="353">
        <v>0</v>
      </c>
      <c r="K196" s="353">
        <v>0</v>
      </c>
      <c r="L196" s="354">
        <v>0</v>
      </c>
      <c r="M196" s="354">
        <v>0</v>
      </c>
      <c r="N196" s="337">
        <f t="shared" si="8"/>
        <v>0</v>
      </c>
      <c r="O196" s="353">
        <v>0</v>
      </c>
      <c r="P196" s="353">
        <v>0</v>
      </c>
      <c r="Q196" s="353">
        <v>0</v>
      </c>
      <c r="R196" s="354">
        <v>0</v>
      </c>
      <c r="S196" s="337">
        <f>5600-5600</f>
        <v>0</v>
      </c>
      <c r="T196" s="353">
        <v>0</v>
      </c>
      <c r="U196" s="337">
        <f t="shared" si="9"/>
        <v>0</v>
      </c>
    </row>
    <row r="197" spans="1:21" s="91" customFormat="1" ht="58.5" hidden="1" customHeight="1" outlineLevel="1" x14ac:dyDescent="0.2">
      <c r="A197" s="33"/>
      <c r="B197" s="413"/>
      <c r="C197" s="342" t="s">
        <v>280</v>
      </c>
      <c r="D197" s="410" t="s">
        <v>73</v>
      </c>
      <c r="E197" s="35"/>
      <c r="F197" s="375" t="s">
        <v>11</v>
      </c>
      <c r="G197" s="353">
        <v>0</v>
      </c>
      <c r="H197" s="353">
        <v>0</v>
      </c>
      <c r="I197" s="353">
        <v>0</v>
      </c>
      <c r="J197" s="353">
        <v>0</v>
      </c>
      <c r="K197" s="353">
        <v>0</v>
      </c>
      <c r="L197" s="354">
        <v>0</v>
      </c>
      <c r="M197" s="354">
        <v>0</v>
      </c>
      <c r="N197" s="337">
        <f t="shared" si="8"/>
        <v>0</v>
      </c>
      <c r="O197" s="353">
        <v>0</v>
      </c>
      <c r="P197" s="353">
        <v>0</v>
      </c>
      <c r="Q197" s="353">
        <v>0</v>
      </c>
      <c r="R197" s="354">
        <v>0</v>
      </c>
      <c r="S197" s="337">
        <f>3358-3358</f>
        <v>0</v>
      </c>
      <c r="T197" s="353">
        <v>0</v>
      </c>
      <c r="U197" s="337">
        <f t="shared" si="9"/>
        <v>0</v>
      </c>
    </row>
    <row r="198" spans="1:21" s="7" customFormat="1" ht="44.25" hidden="1" customHeight="1" outlineLevel="1" x14ac:dyDescent="0.2">
      <c r="A198" s="33"/>
      <c r="B198" s="413"/>
      <c r="C198" s="343" t="s">
        <v>153</v>
      </c>
      <c r="D198" s="411" t="s">
        <v>73</v>
      </c>
      <c r="E198" s="35"/>
      <c r="F198" s="376" t="s">
        <v>11</v>
      </c>
      <c r="G198" s="356">
        <v>0</v>
      </c>
      <c r="H198" s="356">
        <v>0</v>
      </c>
      <c r="I198" s="356">
        <v>0</v>
      </c>
      <c r="J198" s="356">
        <v>0</v>
      </c>
      <c r="K198" s="356">
        <v>0</v>
      </c>
      <c r="L198" s="357">
        <v>0</v>
      </c>
      <c r="M198" s="357">
        <v>0</v>
      </c>
      <c r="N198" s="351">
        <f t="shared" si="8"/>
        <v>0</v>
      </c>
      <c r="O198" s="356">
        <v>0</v>
      </c>
      <c r="P198" s="356">
        <v>0</v>
      </c>
      <c r="Q198" s="356">
        <v>0</v>
      </c>
      <c r="R198" s="357">
        <v>0</v>
      </c>
      <c r="S198" s="357">
        <v>0</v>
      </c>
      <c r="T198" s="351">
        <v>300</v>
      </c>
      <c r="U198" s="351">
        <f t="shared" si="9"/>
        <v>300</v>
      </c>
    </row>
    <row r="199" spans="1:21" s="7" customFormat="1" ht="114" hidden="1" customHeight="1" outlineLevel="1" x14ac:dyDescent="0.2">
      <c r="A199" s="33"/>
      <c r="B199" s="413"/>
      <c r="C199" s="338" t="s">
        <v>232</v>
      </c>
      <c r="D199" s="410" t="s">
        <v>73</v>
      </c>
      <c r="E199" s="35"/>
      <c r="F199" s="375" t="s">
        <v>11</v>
      </c>
      <c r="G199" s="353">
        <v>0</v>
      </c>
      <c r="H199" s="353">
        <v>0</v>
      </c>
      <c r="I199" s="353">
        <v>0</v>
      </c>
      <c r="J199" s="353">
        <v>0</v>
      </c>
      <c r="K199" s="353">
        <v>0</v>
      </c>
      <c r="L199" s="354">
        <v>0</v>
      </c>
      <c r="M199" s="354">
        <v>0</v>
      </c>
      <c r="N199" s="337">
        <f t="shared" si="8"/>
        <v>0</v>
      </c>
      <c r="O199" s="353">
        <v>0</v>
      </c>
      <c r="P199" s="337">
        <v>800</v>
      </c>
      <c r="Q199" s="353">
        <v>0</v>
      </c>
      <c r="R199" s="354">
        <v>0</v>
      </c>
      <c r="S199" s="354">
        <v>0</v>
      </c>
      <c r="T199" s="353">
        <v>0</v>
      </c>
      <c r="U199" s="337">
        <f t="shared" si="9"/>
        <v>800</v>
      </c>
    </row>
    <row r="200" spans="1:21" s="7" customFormat="1" ht="99" hidden="1" customHeight="1" outlineLevel="1" collapsed="1" x14ac:dyDescent="0.2">
      <c r="A200" s="33"/>
      <c r="B200" s="413"/>
      <c r="C200" s="338" t="s">
        <v>281</v>
      </c>
      <c r="D200" s="410" t="s">
        <v>73</v>
      </c>
      <c r="E200" s="35"/>
      <c r="F200" s="375" t="s">
        <v>11</v>
      </c>
      <c r="G200" s="353">
        <v>0</v>
      </c>
      <c r="H200" s="353">
        <v>0</v>
      </c>
      <c r="I200" s="353">
        <v>0</v>
      </c>
      <c r="J200" s="353">
        <v>0</v>
      </c>
      <c r="K200" s="353">
        <v>0</v>
      </c>
      <c r="L200" s="354">
        <v>0</v>
      </c>
      <c r="M200" s="354">
        <v>0</v>
      </c>
      <c r="N200" s="337">
        <f t="shared" si="8"/>
        <v>0</v>
      </c>
      <c r="O200" s="353">
        <v>0</v>
      </c>
      <c r="P200" s="353">
        <v>0</v>
      </c>
      <c r="Q200" s="337">
        <f>25000-25000</f>
        <v>0</v>
      </c>
      <c r="R200" s="354">
        <v>0</v>
      </c>
      <c r="S200" s="354">
        <v>0</v>
      </c>
      <c r="T200" s="353">
        <v>0</v>
      </c>
      <c r="U200" s="337">
        <f t="shared" si="9"/>
        <v>0</v>
      </c>
    </row>
    <row r="201" spans="1:21" s="7" customFormat="1" ht="79.5" hidden="1" customHeight="1" outlineLevel="1" x14ac:dyDescent="0.2">
      <c r="A201" s="33"/>
      <c r="B201" s="413"/>
      <c r="C201" s="358" t="s">
        <v>245</v>
      </c>
      <c r="D201" s="412" t="s">
        <v>73</v>
      </c>
      <c r="E201" s="35"/>
      <c r="F201" s="377" t="s">
        <v>11</v>
      </c>
      <c r="G201" s="360">
        <v>0</v>
      </c>
      <c r="H201" s="360">
        <v>0</v>
      </c>
      <c r="I201" s="360">
        <v>0</v>
      </c>
      <c r="J201" s="360">
        <v>0</v>
      </c>
      <c r="K201" s="360">
        <v>0</v>
      </c>
      <c r="L201" s="361">
        <v>0</v>
      </c>
      <c r="M201" s="361">
        <v>0</v>
      </c>
      <c r="N201" s="362">
        <f t="shared" si="8"/>
        <v>0</v>
      </c>
      <c r="O201" s="360">
        <v>0</v>
      </c>
      <c r="P201" s="362">
        <v>2663.3</v>
      </c>
      <c r="Q201" s="360">
        <v>0</v>
      </c>
      <c r="R201" s="361">
        <v>0</v>
      </c>
      <c r="S201" s="361">
        <v>0</v>
      </c>
      <c r="T201" s="360">
        <v>0</v>
      </c>
      <c r="U201" s="362">
        <f t="shared" si="9"/>
        <v>2663.3</v>
      </c>
    </row>
    <row r="202" spans="1:21" s="7" customFormat="1" ht="81.75" customHeight="1" outlineLevel="1" collapsed="1" x14ac:dyDescent="0.2">
      <c r="A202" s="33"/>
      <c r="B202" s="413"/>
      <c r="C202" s="338" t="s">
        <v>310</v>
      </c>
      <c r="D202" s="410" t="s">
        <v>73</v>
      </c>
      <c r="E202" s="35"/>
      <c r="F202" s="375" t="s">
        <v>11</v>
      </c>
      <c r="G202" s="353">
        <v>0</v>
      </c>
      <c r="H202" s="353">
        <v>0</v>
      </c>
      <c r="I202" s="353">
        <v>0</v>
      </c>
      <c r="J202" s="353">
        <v>0</v>
      </c>
      <c r="K202" s="353">
        <v>0</v>
      </c>
      <c r="L202" s="354">
        <v>0</v>
      </c>
      <c r="M202" s="354">
        <v>0</v>
      </c>
      <c r="N202" s="337">
        <f t="shared" si="8"/>
        <v>0</v>
      </c>
      <c r="O202" s="353">
        <v>0</v>
      </c>
      <c r="P202" s="353">
        <v>0</v>
      </c>
      <c r="Q202" s="337">
        <f>250000-250000</f>
        <v>0</v>
      </c>
      <c r="R202" s="354">
        <v>0</v>
      </c>
      <c r="S202" s="354">
        <v>5549.7</v>
      </c>
      <c r="T202" s="353">
        <v>0</v>
      </c>
      <c r="U202" s="337">
        <f t="shared" si="9"/>
        <v>5549.7</v>
      </c>
    </row>
    <row r="203" spans="1:21" s="7" customFormat="1" ht="60" hidden="1" customHeight="1" outlineLevel="1" x14ac:dyDescent="0.2">
      <c r="A203" s="76"/>
      <c r="B203" s="413"/>
      <c r="C203" s="342" t="s">
        <v>244</v>
      </c>
      <c r="D203" s="352" t="s">
        <v>73</v>
      </c>
      <c r="E203" s="35"/>
      <c r="F203" s="375" t="s">
        <v>11</v>
      </c>
      <c r="G203" s="353">
        <v>0</v>
      </c>
      <c r="H203" s="353">
        <v>0</v>
      </c>
      <c r="I203" s="353">
        <v>0</v>
      </c>
      <c r="J203" s="353">
        <v>0</v>
      </c>
      <c r="K203" s="353">
        <v>0</v>
      </c>
      <c r="L203" s="354">
        <v>0</v>
      </c>
      <c r="M203" s="354">
        <v>0</v>
      </c>
      <c r="N203" s="337">
        <f t="shared" si="8"/>
        <v>0</v>
      </c>
      <c r="O203" s="353">
        <v>0</v>
      </c>
      <c r="P203" s="337">
        <v>100</v>
      </c>
      <c r="Q203" s="353">
        <v>0</v>
      </c>
      <c r="R203" s="354">
        <v>0</v>
      </c>
      <c r="S203" s="354">
        <v>0</v>
      </c>
      <c r="T203" s="353">
        <v>0</v>
      </c>
      <c r="U203" s="337">
        <f t="shared" si="9"/>
        <v>100</v>
      </c>
    </row>
    <row r="204" spans="1:21" s="7" customFormat="1" ht="54.75" hidden="1" customHeight="1" outlineLevel="1" x14ac:dyDescent="0.2">
      <c r="A204" s="33"/>
      <c r="B204" s="413"/>
      <c r="C204" s="343" t="s">
        <v>154</v>
      </c>
      <c r="D204" s="355" t="s">
        <v>73</v>
      </c>
      <c r="E204" s="35"/>
      <c r="F204" s="375" t="s">
        <v>11</v>
      </c>
      <c r="G204" s="353">
        <v>0</v>
      </c>
      <c r="H204" s="353">
        <v>0</v>
      </c>
      <c r="I204" s="353">
        <v>0</v>
      </c>
      <c r="J204" s="353">
        <v>0</v>
      </c>
      <c r="K204" s="353">
        <v>0</v>
      </c>
      <c r="L204" s="354">
        <v>0</v>
      </c>
      <c r="M204" s="354">
        <v>0</v>
      </c>
      <c r="N204" s="337">
        <f t="shared" si="8"/>
        <v>0</v>
      </c>
      <c r="O204" s="353">
        <v>0</v>
      </c>
      <c r="P204" s="337">
        <v>1950.5</v>
      </c>
      <c r="Q204" s="353">
        <v>0</v>
      </c>
      <c r="R204" s="354">
        <v>0</v>
      </c>
      <c r="S204" s="354">
        <v>0</v>
      </c>
      <c r="T204" s="353">
        <v>0</v>
      </c>
      <c r="U204" s="337">
        <f t="shared" si="9"/>
        <v>1950.5</v>
      </c>
    </row>
    <row r="205" spans="1:21" s="7" customFormat="1" ht="92.25" hidden="1" customHeight="1" outlineLevel="1" collapsed="1" x14ac:dyDescent="0.2">
      <c r="A205" s="76"/>
      <c r="B205" s="413"/>
      <c r="C205" s="338" t="s">
        <v>261</v>
      </c>
      <c r="D205" s="352" t="s">
        <v>73</v>
      </c>
      <c r="E205" s="35"/>
      <c r="F205" s="375" t="s">
        <v>11</v>
      </c>
      <c r="G205" s="353">
        <v>0</v>
      </c>
      <c r="H205" s="353">
        <v>0</v>
      </c>
      <c r="I205" s="353">
        <v>0</v>
      </c>
      <c r="J205" s="353">
        <v>0</v>
      </c>
      <c r="K205" s="353">
        <v>0</v>
      </c>
      <c r="L205" s="354">
        <v>0</v>
      </c>
      <c r="M205" s="354">
        <v>0</v>
      </c>
      <c r="N205" s="337">
        <f t="shared" si="8"/>
        <v>0</v>
      </c>
      <c r="O205" s="353">
        <v>0</v>
      </c>
      <c r="P205" s="337">
        <v>0</v>
      </c>
      <c r="Q205" s="353">
        <f>120-120</f>
        <v>0</v>
      </c>
      <c r="R205" s="354">
        <v>0</v>
      </c>
      <c r="S205" s="354">
        <v>0</v>
      </c>
      <c r="T205" s="353">
        <v>0</v>
      </c>
      <c r="U205" s="337">
        <f t="shared" si="9"/>
        <v>0</v>
      </c>
    </row>
    <row r="206" spans="1:21" s="7" customFormat="1" ht="67.5" hidden="1" customHeight="1" outlineLevel="1" x14ac:dyDescent="0.2">
      <c r="A206" s="33"/>
      <c r="B206" s="413"/>
      <c r="C206" s="338" t="s">
        <v>203</v>
      </c>
      <c r="D206" s="352" t="s">
        <v>73</v>
      </c>
      <c r="E206" s="35"/>
      <c r="F206" s="375" t="s">
        <v>11</v>
      </c>
      <c r="G206" s="353">
        <v>0</v>
      </c>
      <c r="H206" s="353">
        <v>0</v>
      </c>
      <c r="I206" s="353">
        <v>0</v>
      </c>
      <c r="J206" s="353">
        <v>0</v>
      </c>
      <c r="K206" s="353">
        <v>0</v>
      </c>
      <c r="L206" s="354">
        <v>0</v>
      </c>
      <c r="M206" s="354">
        <v>0</v>
      </c>
      <c r="N206" s="337">
        <f t="shared" si="8"/>
        <v>0</v>
      </c>
      <c r="O206" s="353">
        <v>0</v>
      </c>
      <c r="P206" s="337">
        <v>0</v>
      </c>
      <c r="Q206" s="353">
        <f>2280-2280</f>
        <v>0</v>
      </c>
      <c r="R206" s="354">
        <v>0</v>
      </c>
      <c r="S206" s="354">
        <v>0</v>
      </c>
      <c r="T206" s="353">
        <v>0</v>
      </c>
      <c r="U206" s="337">
        <f t="shared" si="9"/>
        <v>0</v>
      </c>
    </row>
    <row r="207" spans="1:21" s="7" customFormat="1" ht="90" hidden="1" customHeight="1" outlineLevel="1" x14ac:dyDescent="0.2">
      <c r="A207" s="33"/>
      <c r="B207" s="413"/>
      <c r="C207" s="338" t="s">
        <v>247</v>
      </c>
      <c r="D207" s="352" t="s">
        <v>73</v>
      </c>
      <c r="E207" s="35"/>
      <c r="F207" s="375" t="s">
        <v>11</v>
      </c>
      <c r="G207" s="353">
        <v>0</v>
      </c>
      <c r="H207" s="353">
        <v>0</v>
      </c>
      <c r="I207" s="353">
        <v>0</v>
      </c>
      <c r="J207" s="353">
        <v>0</v>
      </c>
      <c r="K207" s="353">
        <v>0</v>
      </c>
      <c r="L207" s="354">
        <v>0</v>
      </c>
      <c r="M207" s="354">
        <v>0</v>
      </c>
      <c r="N207" s="337">
        <f t="shared" si="8"/>
        <v>0</v>
      </c>
      <c r="O207" s="353">
        <v>0</v>
      </c>
      <c r="P207" s="337">
        <v>0</v>
      </c>
      <c r="Q207" s="353">
        <f>120-120</f>
        <v>0</v>
      </c>
      <c r="R207" s="354">
        <v>0</v>
      </c>
      <c r="S207" s="354">
        <v>0</v>
      </c>
      <c r="T207" s="353">
        <v>0</v>
      </c>
      <c r="U207" s="337">
        <f t="shared" si="9"/>
        <v>0</v>
      </c>
    </row>
    <row r="208" spans="1:21" s="7" customFormat="1" ht="72.75" hidden="1" customHeight="1" outlineLevel="1" x14ac:dyDescent="0.2">
      <c r="A208" s="33"/>
      <c r="B208" s="413"/>
      <c r="C208" s="338" t="s">
        <v>214</v>
      </c>
      <c r="D208" s="352" t="s">
        <v>73</v>
      </c>
      <c r="E208" s="35"/>
      <c r="F208" s="375" t="s">
        <v>11</v>
      </c>
      <c r="G208" s="353">
        <v>0</v>
      </c>
      <c r="H208" s="353">
        <v>0</v>
      </c>
      <c r="I208" s="353">
        <v>0</v>
      </c>
      <c r="J208" s="353">
        <v>0</v>
      </c>
      <c r="K208" s="353">
        <v>0</v>
      </c>
      <c r="L208" s="354">
        <v>0</v>
      </c>
      <c r="M208" s="354">
        <v>0</v>
      </c>
      <c r="N208" s="337">
        <f t="shared" si="8"/>
        <v>0</v>
      </c>
      <c r="O208" s="353">
        <v>0</v>
      </c>
      <c r="P208" s="337">
        <v>0</v>
      </c>
      <c r="Q208" s="353">
        <f>2380-2380</f>
        <v>0</v>
      </c>
      <c r="R208" s="354">
        <v>0</v>
      </c>
      <c r="S208" s="354">
        <v>0</v>
      </c>
      <c r="T208" s="353">
        <v>0</v>
      </c>
      <c r="U208" s="337">
        <f t="shared" si="9"/>
        <v>0</v>
      </c>
    </row>
    <row r="209" spans="1:21" s="7" customFormat="1" ht="84.75" hidden="1" customHeight="1" outlineLevel="1" x14ac:dyDescent="0.2">
      <c r="A209" s="33"/>
      <c r="B209" s="413"/>
      <c r="C209" s="338" t="s">
        <v>240</v>
      </c>
      <c r="D209" s="352" t="s">
        <v>73</v>
      </c>
      <c r="E209" s="35"/>
      <c r="F209" s="375" t="s">
        <v>11</v>
      </c>
      <c r="G209" s="353">
        <v>0</v>
      </c>
      <c r="H209" s="353">
        <v>0</v>
      </c>
      <c r="I209" s="353">
        <v>0</v>
      </c>
      <c r="J209" s="353">
        <v>0</v>
      </c>
      <c r="K209" s="353">
        <v>0</v>
      </c>
      <c r="L209" s="354">
        <v>0</v>
      </c>
      <c r="M209" s="354">
        <v>0</v>
      </c>
      <c r="N209" s="337">
        <f t="shared" si="8"/>
        <v>0</v>
      </c>
      <c r="O209" s="353">
        <v>0</v>
      </c>
      <c r="P209" s="354">
        <v>0</v>
      </c>
      <c r="Q209" s="353">
        <v>0</v>
      </c>
      <c r="R209" s="354">
        <f>370-370</f>
        <v>0</v>
      </c>
      <c r="S209" s="354">
        <v>0</v>
      </c>
      <c r="T209" s="353">
        <v>0</v>
      </c>
      <c r="U209" s="337">
        <f t="shared" si="9"/>
        <v>0</v>
      </c>
    </row>
    <row r="210" spans="1:21" s="7" customFormat="1" ht="96.75" hidden="1" customHeight="1" outlineLevel="1" x14ac:dyDescent="0.2">
      <c r="A210" s="33"/>
      <c r="B210" s="413"/>
      <c r="C210" s="342" t="s">
        <v>246</v>
      </c>
      <c r="D210" s="352" t="s">
        <v>73</v>
      </c>
      <c r="E210" s="35"/>
      <c r="F210" s="375" t="s">
        <v>11</v>
      </c>
      <c r="G210" s="353">
        <v>0</v>
      </c>
      <c r="H210" s="353">
        <v>0</v>
      </c>
      <c r="I210" s="353">
        <v>0</v>
      </c>
      <c r="J210" s="353">
        <v>0</v>
      </c>
      <c r="K210" s="353">
        <v>0</v>
      </c>
      <c r="L210" s="354">
        <v>0</v>
      </c>
      <c r="M210" s="354">
        <v>0</v>
      </c>
      <c r="N210" s="337">
        <f t="shared" si="8"/>
        <v>0</v>
      </c>
      <c r="O210" s="353">
        <v>0</v>
      </c>
      <c r="P210" s="354">
        <v>0</v>
      </c>
      <c r="Q210" s="353">
        <v>0</v>
      </c>
      <c r="R210" s="337">
        <f>10622.3-10622.3</f>
        <v>0</v>
      </c>
      <c r="S210" s="354">
        <v>0</v>
      </c>
      <c r="T210" s="353">
        <v>0</v>
      </c>
      <c r="U210" s="337">
        <f t="shared" si="9"/>
        <v>0</v>
      </c>
    </row>
    <row r="211" spans="1:21" s="7" customFormat="1" ht="61.5" hidden="1" customHeight="1" outlineLevel="1" x14ac:dyDescent="0.2">
      <c r="A211" s="33"/>
      <c r="B211" s="413"/>
      <c r="C211" s="343" t="s">
        <v>236</v>
      </c>
      <c r="D211" s="355" t="s">
        <v>73</v>
      </c>
      <c r="E211" s="35"/>
      <c r="F211" s="375" t="s">
        <v>11</v>
      </c>
      <c r="G211" s="353">
        <v>0</v>
      </c>
      <c r="H211" s="353">
        <v>0</v>
      </c>
      <c r="I211" s="353">
        <v>0</v>
      </c>
      <c r="J211" s="353">
        <v>0</v>
      </c>
      <c r="K211" s="353">
        <v>0</v>
      </c>
      <c r="L211" s="354">
        <v>0</v>
      </c>
      <c r="M211" s="354">
        <v>0</v>
      </c>
      <c r="N211" s="337">
        <f t="shared" ref="N211:N250" si="10">G211+H211+I211+J211+K211+L211+M211</f>
        <v>0</v>
      </c>
      <c r="O211" s="353">
        <v>0</v>
      </c>
      <c r="P211" s="354">
        <v>0</v>
      </c>
      <c r="Q211" s="353">
        <v>0</v>
      </c>
      <c r="R211" s="354">
        <v>0</v>
      </c>
      <c r="S211" s="354">
        <f>265-265</f>
        <v>0</v>
      </c>
      <c r="T211" s="353">
        <v>0</v>
      </c>
      <c r="U211" s="337">
        <f t="shared" si="9"/>
        <v>0</v>
      </c>
    </row>
    <row r="212" spans="1:21" s="7" customFormat="1" ht="69" hidden="1" customHeight="1" outlineLevel="1" x14ac:dyDescent="0.2">
      <c r="A212" s="33"/>
      <c r="B212" s="413"/>
      <c r="C212" s="338" t="s">
        <v>237</v>
      </c>
      <c r="D212" s="352" t="s">
        <v>73</v>
      </c>
      <c r="E212" s="35"/>
      <c r="F212" s="375" t="s">
        <v>11</v>
      </c>
      <c r="G212" s="353">
        <v>0</v>
      </c>
      <c r="H212" s="353">
        <v>0</v>
      </c>
      <c r="I212" s="353">
        <v>0</v>
      </c>
      <c r="J212" s="353">
        <v>0</v>
      </c>
      <c r="K212" s="353">
        <v>0</v>
      </c>
      <c r="L212" s="354">
        <v>0</v>
      </c>
      <c r="M212" s="354">
        <v>0</v>
      </c>
      <c r="N212" s="337">
        <f t="shared" si="10"/>
        <v>0</v>
      </c>
      <c r="O212" s="353">
        <v>0</v>
      </c>
      <c r="P212" s="354">
        <v>0</v>
      </c>
      <c r="Q212" s="353">
        <v>0</v>
      </c>
      <c r="R212" s="354">
        <v>0</v>
      </c>
      <c r="S212" s="354">
        <v>0</v>
      </c>
      <c r="T212" s="354">
        <v>770</v>
      </c>
      <c r="U212" s="337">
        <f t="shared" si="9"/>
        <v>770</v>
      </c>
    </row>
    <row r="213" spans="1:21" s="7" customFormat="1" ht="56.25" hidden="1" customHeight="1" outlineLevel="1" collapsed="1" x14ac:dyDescent="0.2">
      <c r="A213" s="33"/>
      <c r="B213" s="413"/>
      <c r="C213" s="338" t="s">
        <v>238</v>
      </c>
      <c r="D213" s="352" t="s">
        <v>73</v>
      </c>
      <c r="E213" s="35"/>
      <c r="F213" s="375" t="s">
        <v>11</v>
      </c>
      <c r="G213" s="353">
        <v>0</v>
      </c>
      <c r="H213" s="353">
        <v>0</v>
      </c>
      <c r="I213" s="353">
        <v>0</v>
      </c>
      <c r="J213" s="353">
        <v>0</v>
      </c>
      <c r="K213" s="353">
        <v>0</v>
      </c>
      <c r="L213" s="354">
        <v>0</v>
      </c>
      <c r="M213" s="354">
        <v>0</v>
      </c>
      <c r="N213" s="337">
        <f t="shared" si="10"/>
        <v>0</v>
      </c>
      <c r="O213" s="353">
        <v>0</v>
      </c>
      <c r="P213" s="354">
        <v>0</v>
      </c>
      <c r="Q213" s="353">
        <v>0</v>
      </c>
      <c r="R213" s="353">
        <v>0</v>
      </c>
      <c r="S213" s="337">
        <f>845-845</f>
        <v>0</v>
      </c>
      <c r="T213" s="353">
        <v>0</v>
      </c>
      <c r="U213" s="337">
        <f t="shared" si="9"/>
        <v>0</v>
      </c>
    </row>
    <row r="214" spans="1:21" s="7" customFormat="1" ht="59.25" hidden="1" customHeight="1" outlineLevel="1" x14ac:dyDescent="0.2">
      <c r="A214" s="33"/>
      <c r="B214" s="413"/>
      <c r="C214" s="338" t="s">
        <v>276</v>
      </c>
      <c r="D214" s="352" t="s">
        <v>73</v>
      </c>
      <c r="E214" s="35"/>
      <c r="F214" s="375" t="s">
        <v>11</v>
      </c>
      <c r="G214" s="353">
        <v>0</v>
      </c>
      <c r="H214" s="353">
        <v>0</v>
      </c>
      <c r="I214" s="353">
        <v>0</v>
      </c>
      <c r="J214" s="353">
        <v>0</v>
      </c>
      <c r="K214" s="353">
        <v>0</v>
      </c>
      <c r="L214" s="354">
        <v>0</v>
      </c>
      <c r="M214" s="354">
        <v>0</v>
      </c>
      <c r="N214" s="337">
        <f t="shared" si="10"/>
        <v>0</v>
      </c>
      <c r="O214" s="353">
        <v>0</v>
      </c>
      <c r="P214" s="354">
        <v>0</v>
      </c>
      <c r="Q214" s="353">
        <v>0</v>
      </c>
      <c r="R214" s="353">
        <v>0</v>
      </c>
      <c r="S214" s="337">
        <f>1340-1340</f>
        <v>0</v>
      </c>
      <c r="T214" s="353">
        <v>0</v>
      </c>
      <c r="U214" s="337">
        <f t="shared" si="9"/>
        <v>0</v>
      </c>
    </row>
    <row r="215" spans="1:21" s="7" customFormat="1" ht="41.25" hidden="1" customHeight="1" outlineLevel="1" x14ac:dyDescent="0.2">
      <c r="A215" s="33"/>
      <c r="B215" s="413"/>
      <c r="C215" s="338" t="s">
        <v>204</v>
      </c>
      <c r="D215" s="352" t="s">
        <v>73</v>
      </c>
      <c r="E215" s="35"/>
      <c r="F215" s="375" t="s">
        <v>11</v>
      </c>
      <c r="G215" s="353">
        <v>0</v>
      </c>
      <c r="H215" s="353">
        <v>0</v>
      </c>
      <c r="I215" s="353">
        <v>0</v>
      </c>
      <c r="J215" s="353">
        <v>0</v>
      </c>
      <c r="K215" s="353">
        <v>0</v>
      </c>
      <c r="L215" s="354">
        <v>0</v>
      </c>
      <c r="M215" s="354">
        <v>0</v>
      </c>
      <c r="N215" s="337">
        <f t="shared" si="10"/>
        <v>0</v>
      </c>
      <c r="O215" s="353">
        <v>0</v>
      </c>
      <c r="P215" s="354">
        <v>0</v>
      </c>
      <c r="Q215" s="353">
        <v>0</v>
      </c>
      <c r="R215" s="353">
        <v>0</v>
      </c>
      <c r="S215" s="353">
        <v>0</v>
      </c>
      <c r="T215" s="337">
        <v>890</v>
      </c>
      <c r="U215" s="337">
        <f t="shared" ref="U215:U223" si="11">SUM(G215:T215)-N215</f>
        <v>890</v>
      </c>
    </row>
    <row r="216" spans="1:21" s="7" customFormat="1" ht="46.5" hidden="1" customHeight="1" outlineLevel="1" x14ac:dyDescent="0.2">
      <c r="A216" s="33"/>
      <c r="B216" s="413"/>
      <c r="C216" s="338" t="s">
        <v>205</v>
      </c>
      <c r="D216" s="352" t="s">
        <v>73</v>
      </c>
      <c r="E216" s="35"/>
      <c r="F216" s="375" t="s">
        <v>11</v>
      </c>
      <c r="G216" s="353">
        <v>0</v>
      </c>
      <c r="H216" s="353">
        <v>0</v>
      </c>
      <c r="I216" s="353">
        <v>0</v>
      </c>
      <c r="J216" s="353">
        <v>0</v>
      </c>
      <c r="K216" s="353">
        <v>0</v>
      </c>
      <c r="L216" s="354">
        <v>0</v>
      </c>
      <c r="M216" s="354">
        <v>0</v>
      </c>
      <c r="N216" s="337">
        <f t="shared" si="10"/>
        <v>0</v>
      </c>
      <c r="O216" s="353">
        <v>0</v>
      </c>
      <c r="P216" s="354">
        <v>0</v>
      </c>
      <c r="Q216" s="353">
        <v>0</v>
      </c>
      <c r="R216" s="353">
        <v>0</v>
      </c>
      <c r="S216" s="353">
        <v>0</v>
      </c>
      <c r="T216" s="337">
        <v>2460</v>
      </c>
      <c r="U216" s="337">
        <f t="shared" si="11"/>
        <v>2460</v>
      </c>
    </row>
    <row r="217" spans="1:21" s="7" customFormat="1" ht="67.5" hidden="1" customHeight="1" outlineLevel="1" collapsed="1" x14ac:dyDescent="0.2">
      <c r="A217" s="33"/>
      <c r="B217" s="413"/>
      <c r="C217" s="338" t="s">
        <v>277</v>
      </c>
      <c r="D217" s="352" t="s">
        <v>73</v>
      </c>
      <c r="E217" s="35"/>
      <c r="F217" s="375" t="s">
        <v>11</v>
      </c>
      <c r="G217" s="353">
        <v>0</v>
      </c>
      <c r="H217" s="353">
        <v>0</v>
      </c>
      <c r="I217" s="353">
        <v>0</v>
      </c>
      <c r="J217" s="353">
        <v>0</v>
      </c>
      <c r="K217" s="353">
        <v>0</v>
      </c>
      <c r="L217" s="354">
        <v>0</v>
      </c>
      <c r="M217" s="354">
        <v>0</v>
      </c>
      <c r="N217" s="337">
        <f t="shared" si="10"/>
        <v>0</v>
      </c>
      <c r="O217" s="353">
        <v>0</v>
      </c>
      <c r="P217" s="354">
        <v>0</v>
      </c>
      <c r="Q217" s="353">
        <v>0</v>
      </c>
      <c r="R217" s="337">
        <f>930-930</f>
        <v>0</v>
      </c>
      <c r="S217" s="354">
        <v>0</v>
      </c>
      <c r="T217" s="353">
        <v>0</v>
      </c>
      <c r="U217" s="337">
        <f t="shared" si="11"/>
        <v>0</v>
      </c>
    </row>
    <row r="218" spans="1:21" s="7" customFormat="1" ht="87" hidden="1" customHeight="1" outlineLevel="1" x14ac:dyDescent="0.2">
      <c r="A218" s="33"/>
      <c r="B218" s="413"/>
      <c r="C218" s="338" t="s">
        <v>239</v>
      </c>
      <c r="D218" s="352" t="s">
        <v>73</v>
      </c>
      <c r="E218" s="35"/>
      <c r="F218" s="375" t="s">
        <v>11</v>
      </c>
      <c r="G218" s="353">
        <v>0</v>
      </c>
      <c r="H218" s="353">
        <v>0</v>
      </c>
      <c r="I218" s="353">
        <v>0</v>
      </c>
      <c r="J218" s="353">
        <v>0</v>
      </c>
      <c r="K218" s="353">
        <v>0</v>
      </c>
      <c r="L218" s="354">
        <v>0</v>
      </c>
      <c r="M218" s="354">
        <v>0</v>
      </c>
      <c r="N218" s="337">
        <f t="shared" si="10"/>
        <v>0</v>
      </c>
      <c r="O218" s="353">
        <v>0</v>
      </c>
      <c r="P218" s="354">
        <v>0</v>
      </c>
      <c r="Q218" s="353">
        <v>0</v>
      </c>
      <c r="R218" s="353">
        <v>0</v>
      </c>
      <c r="S218" s="337">
        <f>9500-9500</f>
        <v>0</v>
      </c>
      <c r="T218" s="353">
        <v>0</v>
      </c>
      <c r="U218" s="337">
        <f t="shared" si="11"/>
        <v>0</v>
      </c>
    </row>
    <row r="219" spans="1:21" s="7" customFormat="1" ht="87.75" hidden="1" customHeight="1" outlineLevel="1" x14ac:dyDescent="0.2">
      <c r="A219" s="33"/>
      <c r="B219" s="413"/>
      <c r="C219" s="342" t="s">
        <v>278</v>
      </c>
      <c r="D219" s="352" t="s">
        <v>73</v>
      </c>
      <c r="E219" s="35"/>
      <c r="F219" s="375" t="s">
        <v>11</v>
      </c>
      <c r="G219" s="353">
        <v>0</v>
      </c>
      <c r="H219" s="353">
        <v>0</v>
      </c>
      <c r="I219" s="353">
        <v>0</v>
      </c>
      <c r="J219" s="353">
        <v>0</v>
      </c>
      <c r="K219" s="353">
        <v>0</v>
      </c>
      <c r="L219" s="354">
        <v>0</v>
      </c>
      <c r="M219" s="354">
        <v>0</v>
      </c>
      <c r="N219" s="337">
        <f t="shared" si="10"/>
        <v>0</v>
      </c>
      <c r="O219" s="353">
        <v>0</v>
      </c>
      <c r="P219" s="354">
        <v>0</v>
      </c>
      <c r="Q219" s="353">
        <v>0</v>
      </c>
      <c r="R219" s="353">
        <v>0</v>
      </c>
      <c r="S219" s="337">
        <f>980-980</f>
        <v>0</v>
      </c>
      <c r="T219" s="353">
        <v>0</v>
      </c>
      <c r="U219" s="337">
        <f t="shared" si="11"/>
        <v>0</v>
      </c>
    </row>
    <row r="220" spans="1:21" s="7" customFormat="1" ht="82.5" hidden="1" customHeight="1" outlineLevel="1" x14ac:dyDescent="0.2">
      <c r="A220" s="76"/>
      <c r="B220" s="413"/>
      <c r="C220" s="343" t="s">
        <v>206</v>
      </c>
      <c r="D220" s="355" t="s">
        <v>73</v>
      </c>
      <c r="E220" s="35"/>
      <c r="F220" s="375" t="s">
        <v>11</v>
      </c>
      <c r="G220" s="353">
        <v>0</v>
      </c>
      <c r="H220" s="353">
        <v>0</v>
      </c>
      <c r="I220" s="353">
        <v>0</v>
      </c>
      <c r="J220" s="353">
        <v>0</v>
      </c>
      <c r="K220" s="353">
        <v>0</v>
      </c>
      <c r="L220" s="354">
        <v>0</v>
      </c>
      <c r="M220" s="354">
        <v>0</v>
      </c>
      <c r="N220" s="337">
        <f t="shared" si="10"/>
        <v>0</v>
      </c>
      <c r="O220" s="353">
        <v>0</v>
      </c>
      <c r="P220" s="354">
        <v>0</v>
      </c>
      <c r="Q220" s="353">
        <v>0</v>
      </c>
      <c r="R220" s="354">
        <v>0</v>
      </c>
      <c r="S220" s="353">
        <v>0</v>
      </c>
      <c r="T220" s="337">
        <v>10050</v>
      </c>
      <c r="U220" s="337">
        <f t="shared" si="11"/>
        <v>10050</v>
      </c>
    </row>
    <row r="221" spans="1:21" s="7" customFormat="1" ht="54" hidden="1" customHeight="1" outlineLevel="1" x14ac:dyDescent="0.2">
      <c r="A221" s="33"/>
      <c r="B221" s="413"/>
      <c r="C221" s="338" t="s">
        <v>155</v>
      </c>
      <c r="D221" s="352" t="s">
        <v>73</v>
      </c>
      <c r="E221" s="35"/>
      <c r="F221" s="375" t="s">
        <v>11</v>
      </c>
      <c r="G221" s="353">
        <v>0</v>
      </c>
      <c r="H221" s="353">
        <v>0</v>
      </c>
      <c r="I221" s="353">
        <v>0</v>
      </c>
      <c r="J221" s="353">
        <v>0</v>
      </c>
      <c r="K221" s="353">
        <v>0</v>
      </c>
      <c r="L221" s="354">
        <v>0</v>
      </c>
      <c r="M221" s="354">
        <v>0</v>
      </c>
      <c r="N221" s="337">
        <f t="shared" si="10"/>
        <v>0</v>
      </c>
      <c r="O221" s="353">
        <v>0</v>
      </c>
      <c r="P221" s="337">
        <v>619</v>
      </c>
      <c r="Q221" s="353">
        <v>0</v>
      </c>
      <c r="R221" s="353">
        <v>0</v>
      </c>
      <c r="S221" s="354">
        <v>0</v>
      </c>
      <c r="T221" s="354">
        <v>0</v>
      </c>
      <c r="U221" s="337">
        <f t="shared" si="11"/>
        <v>619</v>
      </c>
    </row>
    <row r="222" spans="1:21" s="7" customFormat="1" ht="64.5" hidden="1" customHeight="1" outlineLevel="1" x14ac:dyDescent="0.2">
      <c r="A222" s="33"/>
      <c r="B222" s="413"/>
      <c r="C222" s="338" t="s">
        <v>251</v>
      </c>
      <c r="D222" s="352" t="s">
        <v>250</v>
      </c>
      <c r="E222" s="35"/>
      <c r="F222" s="375" t="s">
        <v>11</v>
      </c>
      <c r="G222" s="353"/>
      <c r="H222" s="353"/>
      <c r="I222" s="353"/>
      <c r="J222" s="353"/>
      <c r="K222" s="353"/>
      <c r="L222" s="354"/>
      <c r="M222" s="354"/>
      <c r="N222" s="337">
        <v>0</v>
      </c>
      <c r="O222" s="353">
        <v>0</v>
      </c>
      <c r="P222" s="337">
        <v>0</v>
      </c>
      <c r="Q222" s="353">
        <v>13300</v>
      </c>
      <c r="R222" s="353">
        <v>12700</v>
      </c>
      <c r="S222" s="354">
        <v>8958</v>
      </c>
      <c r="T222" s="354">
        <v>28017</v>
      </c>
      <c r="U222" s="337">
        <f t="shared" ref="U222" si="12">SUM(G222:T222)-N222</f>
        <v>62975</v>
      </c>
    </row>
    <row r="223" spans="1:21" s="91" customFormat="1" ht="66.75" hidden="1" customHeight="1" x14ac:dyDescent="0.2">
      <c r="A223" s="334"/>
      <c r="B223" s="69"/>
      <c r="C223" s="333" t="s">
        <v>285</v>
      </c>
      <c r="D223" s="250" t="s">
        <v>250</v>
      </c>
      <c r="E223" s="414"/>
      <c r="F223" s="375" t="s">
        <v>11</v>
      </c>
      <c r="G223" s="353"/>
      <c r="H223" s="353"/>
      <c r="I223" s="353"/>
      <c r="J223" s="353"/>
      <c r="K223" s="353"/>
      <c r="L223" s="354"/>
      <c r="M223" s="354"/>
      <c r="N223" s="337">
        <v>0</v>
      </c>
      <c r="O223" s="353">
        <v>0</v>
      </c>
      <c r="P223" s="337">
        <v>0</v>
      </c>
      <c r="Q223" s="353">
        <f>1700-200.3</f>
        <v>1499.7</v>
      </c>
      <c r="R223" s="353">
        <v>0</v>
      </c>
      <c r="S223" s="354">
        <v>0</v>
      </c>
      <c r="T223" s="354">
        <v>0</v>
      </c>
      <c r="U223" s="337">
        <f t="shared" si="11"/>
        <v>1499.7</v>
      </c>
    </row>
    <row r="224" spans="1:21" ht="79.5" customHeight="1" x14ac:dyDescent="0.2">
      <c r="A224" s="443" t="s">
        <v>75</v>
      </c>
      <c r="B224" s="443"/>
      <c r="C224" s="444"/>
      <c r="D224" s="444"/>
      <c r="E224" s="444"/>
      <c r="F224" s="90" t="s">
        <v>299</v>
      </c>
      <c r="G224" s="67">
        <f>SUM(G86:G175)</f>
        <v>138423.32</v>
      </c>
      <c r="H224" s="67">
        <f>SUM(H86:H175)</f>
        <v>204758.1</v>
      </c>
      <c r="I224" s="67">
        <f>SUM(I86:I175)</f>
        <v>220709</v>
      </c>
      <c r="J224" s="67">
        <f>SUM(J86:J221)</f>
        <v>313192.90000000002</v>
      </c>
      <c r="K224" s="67">
        <f>SUM(K86:K221)</f>
        <v>421613.6</v>
      </c>
      <c r="L224" s="67">
        <f>SUM(L86:L221)</f>
        <v>1308589.8</v>
      </c>
      <c r="M224" s="67">
        <f>SUM(M86:M221)</f>
        <v>1406025</v>
      </c>
      <c r="N224" s="316">
        <f t="shared" ref="N224:U224" si="13">SUM(N86:N223)</f>
        <v>4013311.72</v>
      </c>
      <c r="O224" s="316">
        <f t="shared" si="13"/>
        <v>1203878.7</v>
      </c>
      <c r="P224" s="316">
        <f t="shared" si="13"/>
        <v>799633.3</v>
      </c>
      <c r="Q224" s="316">
        <f t="shared" si="13"/>
        <v>799846.41499999992</v>
      </c>
      <c r="R224" s="316">
        <f t="shared" si="13"/>
        <v>911621.45000000007</v>
      </c>
      <c r="S224" s="316">
        <f t="shared" si="13"/>
        <v>1138439.1099999999</v>
      </c>
      <c r="T224" s="316">
        <f t="shared" si="13"/>
        <v>1324598.7048240909</v>
      </c>
      <c r="U224" s="316">
        <f t="shared" si="13"/>
        <v>10191329.39982409</v>
      </c>
    </row>
    <row r="225" spans="1:21" ht="63" hidden="1" customHeight="1" x14ac:dyDescent="0.2">
      <c r="A225" s="254">
        <v>3</v>
      </c>
      <c r="B225" s="445" t="s">
        <v>156</v>
      </c>
      <c r="C225" s="255" t="s">
        <v>157</v>
      </c>
      <c r="D225" s="256" t="s">
        <v>50</v>
      </c>
      <c r="E225" s="447" t="s">
        <v>158</v>
      </c>
      <c r="F225" s="90" t="s">
        <v>11</v>
      </c>
      <c r="G225" s="38">
        <v>0</v>
      </c>
      <c r="H225" s="38">
        <v>0</v>
      </c>
      <c r="I225" s="38">
        <v>0</v>
      </c>
      <c r="J225" s="38">
        <v>4059.9</v>
      </c>
      <c r="K225" s="38">
        <v>20246.5</v>
      </c>
      <c r="L225" s="38">
        <v>48490</v>
      </c>
      <c r="M225" s="38">
        <v>51250</v>
      </c>
      <c r="N225" s="6">
        <f t="shared" si="10"/>
        <v>124046.39999999999</v>
      </c>
      <c r="O225" s="38">
        <f>53650-10623.9</f>
        <v>43026.1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>SUM(G225:T225)-N225</f>
        <v>167072.49999999997</v>
      </c>
    </row>
    <row r="226" spans="1:21" ht="44.25" hidden="1" customHeight="1" x14ac:dyDescent="0.2">
      <c r="A226" s="257"/>
      <c r="B226" s="446"/>
      <c r="C226" s="258" t="s">
        <v>159</v>
      </c>
      <c r="D226" s="259" t="s">
        <v>59</v>
      </c>
      <c r="E226" s="448"/>
      <c r="F226" s="90" t="s">
        <v>160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/>
      <c r="N226" s="6">
        <f t="shared" si="10"/>
        <v>0</v>
      </c>
      <c r="O226" s="38"/>
      <c r="P226" s="38"/>
      <c r="Q226" s="38"/>
      <c r="R226" s="38"/>
      <c r="S226" s="38"/>
      <c r="T226" s="38"/>
      <c r="U226" s="38">
        <f>SUM(G226:T226)</f>
        <v>0</v>
      </c>
    </row>
    <row r="227" spans="1:21" ht="44.25" hidden="1" customHeight="1" x14ac:dyDescent="0.2">
      <c r="A227" s="257"/>
      <c r="B227" s="446"/>
      <c r="C227" s="261" t="s">
        <v>161</v>
      </c>
      <c r="D227" s="259" t="s">
        <v>59</v>
      </c>
      <c r="E227" s="448"/>
      <c r="F227" s="90" t="s">
        <v>160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/>
      <c r="N227" s="6">
        <f t="shared" si="10"/>
        <v>0</v>
      </c>
      <c r="O227" s="38"/>
      <c r="P227" s="38"/>
      <c r="Q227" s="38"/>
      <c r="R227" s="38"/>
      <c r="S227" s="38"/>
      <c r="T227" s="38"/>
      <c r="U227" s="38">
        <f>SUM(G227:T227)</f>
        <v>0</v>
      </c>
    </row>
    <row r="228" spans="1:21" ht="52.5" hidden="1" customHeight="1" x14ac:dyDescent="0.2">
      <c r="A228" s="262"/>
      <c r="B228" s="446"/>
      <c r="C228" s="263" t="s">
        <v>162</v>
      </c>
      <c r="D228" s="264" t="s">
        <v>50</v>
      </c>
      <c r="E228" s="448"/>
      <c r="F228" s="90" t="s">
        <v>11</v>
      </c>
      <c r="G228" s="40">
        <v>0</v>
      </c>
      <c r="H228" s="40">
        <v>0</v>
      </c>
      <c r="I228" s="40">
        <v>0</v>
      </c>
      <c r="J228" s="40">
        <v>519.4</v>
      </c>
      <c r="K228" s="40">
        <v>1000</v>
      </c>
      <c r="L228" s="40">
        <v>1000</v>
      </c>
      <c r="M228" s="40">
        <v>1070</v>
      </c>
      <c r="N228" s="6">
        <f t="shared" si="10"/>
        <v>3589.4</v>
      </c>
      <c r="O228" s="40">
        <v>1070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ref="U228:U240" si="14">SUM(G228:T228)-N228</f>
        <v>4659.3999999999996</v>
      </c>
    </row>
    <row r="229" spans="1:21" ht="48.75" hidden="1" customHeight="1" x14ac:dyDescent="0.2">
      <c r="A229" s="262"/>
      <c r="B229" s="446"/>
      <c r="C229" s="265" t="s">
        <v>163</v>
      </c>
      <c r="D229" s="266" t="s">
        <v>56</v>
      </c>
      <c r="E229" s="448" t="s">
        <v>164</v>
      </c>
      <c r="F229" s="90" t="s">
        <v>11</v>
      </c>
      <c r="G229" s="40">
        <v>0</v>
      </c>
      <c r="H229" s="40">
        <v>0</v>
      </c>
      <c r="I229" s="40">
        <v>0</v>
      </c>
      <c r="J229" s="40">
        <v>972</v>
      </c>
      <c r="K229" s="40">
        <v>3900</v>
      </c>
      <c r="L229" s="40">
        <v>0</v>
      </c>
      <c r="M229" s="40">
        <v>0</v>
      </c>
      <c r="N229" s="6">
        <f t="shared" si="10"/>
        <v>4872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4872</v>
      </c>
    </row>
    <row r="230" spans="1:21" ht="45.75" hidden="1" customHeight="1" x14ac:dyDescent="0.2">
      <c r="A230" s="267"/>
      <c r="B230" s="446"/>
      <c r="C230" s="268" t="s">
        <v>165</v>
      </c>
      <c r="D230" s="269">
        <v>2020</v>
      </c>
      <c r="E230" s="448"/>
      <c r="F230" s="90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900</v>
      </c>
      <c r="L230" s="40">
        <v>0</v>
      </c>
      <c r="M230" s="40">
        <v>0</v>
      </c>
      <c r="N230" s="6">
        <f t="shared" si="10"/>
        <v>900</v>
      </c>
      <c r="O230" s="40">
        <v>0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900</v>
      </c>
    </row>
    <row r="231" spans="1:21" ht="44.25" hidden="1" customHeight="1" x14ac:dyDescent="0.2">
      <c r="A231" s="267"/>
      <c r="B231" s="446"/>
      <c r="C231" s="263" t="s">
        <v>166</v>
      </c>
      <c r="D231" s="270" t="s">
        <v>90</v>
      </c>
      <c r="E231" s="267"/>
      <c r="F231" s="90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350</v>
      </c>
      <c r="L231" s="40">
        <v>370</v>
      </c>
      <c r="M231" s="40">
        <v>0</v>
      </c>
      <c r="N231" s="6">
        <f t="shared" si="10"/>
        <v>720</v>
      </c>
      <c r="O231" s="40"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720</v>
      </c>
    </row>
    <row r="232" spans="1:21" ht="47.25" hidden="1" customHeight="1" x14ac:dyDescent="0.2">
      <c r="A232" s="267"/>
      <c r="B232" s="271"/>
      <c r="C232" s="272" t="s">
        <v>167</v>
      </c>
      <c r="D232" s="266" t="s">
        <v>90</v>
      </c>
      <c r="E232" s="267"/>
      <c r="F232" s="90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1000</v>
      </c>
      <c r="L232" s="40">
        <v>3000</v>
      </c>
      <c r="M232" s="40">
        <v>3000</v>
      </c>
      <c r="N232" s="6">
        <f t="shared" si="10"/>
        <v>7000</v>
      </c>
      <c r="O232" s="40">
        <v>3000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10000</v>
      </c>
    </row>
    <row r="233" spans="1:21" ht="48.75" hidden="1" customHeight="1" x14ac:dyDescent="0.2">
      <c r="A233" s="262"/>
      <c r="B233" s="273"/>
      <c r="C233" s="274" t="s">
        <v>168</v>
      </c>
      <c r="D233" s="259">
        <v>2020</v>
      </c>
      <c r="E233" s="83"/>
      <c r="F233" s="90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2450</v>
      </c>
      <c r="L233" s="40">
        <v>0</v>
      </c>
      <c r="M233" s="40">
        <v>0</v>
      </c>
      <c r="N233" s="6">
        <f t="shared" si="10"/>
        <v>2450</v>
      </c>
      <c r="O233" s="40">
        <v>0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2450</v>
      </c>
    </row>
    <row r="234" spans="1:21" ht="49.5" hidden="1" customHeight="1" x14ac:dyDescent="0.2">
      <c r="A234" s="262"/>
      <c r="B234" s="273"/>
      <c r="C234" s="274" t="s">
        <v>169</v>
      </c>
      <c r="D234" s="259">
        <v>2020</v>
      </c>
      <c r="E234" s="83"/>
      <c r="F234" s="90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4500</v>
      </c>
      <c r="L234" s="40">
        <v>0</v>
      </c>
      <c r="M234" s="40">
        <v>0</v>
      </c>
      <c r="N234" s="6">
        <f t="shared" si="10"/>
        <v>4500</v>
      </c>
      <c r="O234" s="40">
        <v>0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4500</v>
      </c>
    </row>
    <row r="235" spans="1:21" ht="40.5" hidden="1" customHeight="1" x14ac:dyDescent="0.2">
      <c r="A235" s="262"/>
      <c r="B235" s="275"/>
      <c r="C235" s="276" t="s">
        <v>170</v>
      </c>
      <c r="D235" s="277" t="s">
        <v>90</v>
      </c>
      <c r="E235" s="83"/>
      <c r="F235" s="90" t="s">
        <v>11</v>
      </c>
      <c r="G235" s="40">
        <v>0</v>
      </c>
      <c r="H235" s="40">
        <v>0</v>
      </c>
      <c r="I235" s="40">
        <v>0</v>
      </c>
      <c r="J235" s="40">
        <v>0</v>
      </c>
      <c r="K235" s="40">
        <v>5160</v>
      </c>
      <c r="L235" s="40">
        <v>5000</v>
      </c>
      <c r="M235" s="40">
        <v>0</v>
      </c>
      <c r="N235" s="6">
        <f t="shared" si="10"/>
        <v>10160</v>
      </c>
      <c r="O235" s="40">
        <v>0</v>
      </c>
      <c r="P235" s="38">
        <v>0</v>
      </c>
      <c r="Q235" s="38">
        <v>0</v>
      </c>
      <c r="R235" s="38">
        <v>0</v>
      </c>
      <c r="S235" s="38">
        <v>0</v>
      </c>
      <c r="T235" s="38">
        <v>0</v>
      </c>
      <c r="U235" s="38">
        <f t="shared" si="14"/>
        <v>10160</v>
      </c>
    </row>
    <row r="236" spans="1:21" ht="48" hidden="1" customHeight="1" x14ac:dyDescent="0.2">
      <c r="A236" s="278"/>
      <c r="B236" s="279"/>
      <c r="C236" s="280" t="s">
        <v>171</v>
      </c>
      <c r="D236" s="281" t="s">
        <v>59</v>
      </c>
      <c r="E236" s="83"/>
      <c r="F236" s="90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3150</v>
      </c>
      <c r="M236" s="40">
        <v>3125</v>
      </c>
      <c r="N236" s="6">
        <f t="shared" si="10"/>
        <v>6275</v>
      </c>
      <c r="O236" s="40">
        <v>3125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 t="shared" si="14"/>
        <v>9400</v>
      </c>
    </row>
    <row r="237" spans="1:21" ht="51.75" hidden="1" customHeight="1" x14ac:dyDescent="0.2">
      <c r="A237" s="278"/>
      <c r="B237" s="384"/>
      <c r="C237" s="265" t="s">
        <v>172</v>
      </c>
      <c r="D237" s="283" t="s">
        <v>59</v>
      </c>
      <c r="E237" s="392"/>
      <c r="F237" s="90" t="s">
        <v>11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f>5350-5350</f>
        <v>0</v>
      </c>
      <c r="M237" s="40">
        <f>5350-5350</f>
        <v>0</v>
      </c>
      <c r="N237" s="6">
        <f t="shared" si="10"/>
        <v>0</v>
      </c>
      <c r="O237" s="40">
        <f>5350-5350</f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si="14"/>
        <v>0</v>
      </c>
    </row>
    <row r="238" spans="1:21" ht="40.5" hidden="1" customHeight="1" x14ac:dyDescent="0.2">
      <c r="A238" s="278"/>
      <c r="B238" s="384"/>
      <c r="C238" s="268" t="s">
        <v>173</v>
      </c>
      <c r="D238" s="269" t="s">
        <v>59</v>
      </c>
      <c r="E238" s="83"/>
      <c r="F238" s="90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6500</v>
      </c>
      <c r="M238" s="40">
        <v>750</v>
      </c>
      <c r="N238" s="6">
        <f t="shared" si="10"/>
        <v>7250</v>
      </c>
      <c r="O238" s="40">
        <v>750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4"/>
        <v>8000</v>
      </c>
    </row>
    <row r="239" spans="1:21" ht="120.75" hidden="1" customHeight="1" x14ac:dyDescent="0.2">
      <c r="A239" s="278"/>
      <c r="B239" s="384"/>
      <c r="C239" s="285" t="s">
        <v>174</v>
      </c>
      <c r="D239" s="253">
        <v>2023</v>
      </c>
      <c r="E239" s="83"/>
      <c r="F239" s="90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6">
        <f t="shared" si="10"/>
        <v>0</v>
      </c>
      <c r="O239" s="9">
        <f>10623.9-934.29</f>
        <v>9689.61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4"/>
        <v>9689.61</v>
      </c>
    </row>
    <row r="240" spans="1:21" ht="60" hidden="1" customHeight="1" x14ac:dyDescent="0.2">
      <c r="A240" s="286"/>
      <c r="B240" s="385"/>
      <c r="C240" s="288" t="s">
        <v>175</v>
      </c>
      <c r="D240" s="289">
        <v>2023</v>
      </c>
      <c r="E240" s="83"/>
      <c r="F240" s="90" t="s">
        <v>11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6">
        <f t="shared" si="10"/>
        <v>0</v>
      </c>
      <c r="O240" s="9">
        <v>934.28800000000001</v>
      </c>
      <c r="P240" s="38">
        <v>0</v>
      </c>
      <c r="Q240" s="38">
        <v>0</v>
      </c>
      <c r="R240" s="38">
        <v>0</v>
      </c>
      <c r="S240" s="38">
        <v>0</v>
      </c>
      <c r="T240" s="38">
        <v>0</v>
      </c>
      <c r="U240" s="38">
        <f t="shared" si="14"/>
        <v>934.28800000000001</v>
      </c>
    </row>
    <row r="241" spans="1:21" ht="41.25" hidden="1" customHeight="1" x14ac:dyDescent="0.2">
      <c r="A241" s="449" t="s">
        <v>75</v>
      </c>
      <c r="B241" s="453"/>
      <c r="C241" s="290"/>
      <c r="D241" s="281"/>
      <c r="E241" s="281"/>
      <c r="F241" s="90" t="s">
        <v>11</v>
      </c>
      <c r="G241" s="56">
        <f>SUM(G225:G240)</f>
        <v>0</v>
      </c>
      <c r="H241" s="56">
        <f t="shared" ref="H241:T241" si="15">SUM(H225:H240)</f>
        <v>0</v>
      </c>
      <c r="I241" s="56">
        <f t="shared" si="15"/>
        <v>0</v>
      </c>
      <c r="J241" s="56">
        <f t="shared" si="15"/>
        <v>5551.3</v>
      </c>
      <c r="K241" s="56">
        <f t="shared" si="15"/>
        <v>39506.5</v>
      </c>
      <c r="L241" s="56">
        <f t="shared" si="15"/>
        <v>67510</v>
      </c>
      <c r="M241" s="56">
        <f>SUM(M225:M240)</f>
        <v>59195</v>
      </c>
      <c r="N241" s="56">
        <f>SUM(N225:N240)</f>
        <v>171762.8</v>
      </c>
      <c r="O241" s="56">
        <f t="shared" si="15"/>
        <v>61594.998</v>
      </c>
      <c r="P241" s="56">
        <f t="shared" si="15"/>
        <v>0</v>
      </c>
      <c r="Q241" s="56">
        <f t="shared" si="15"/>
        <v>0</v>
      </c>
      <c r="R241" s="56">
        <f t="shared" si="15"/>
        <v>0</v>
      </c>
      <c r="S241" s="56">
        <f t="shared" si="15"/>
        <v>0</v>
      </c>
      <c r="T241" s="56">
        <f t="shared" si="15"/>
        <v>0</v>
      </c>
      <c r="U241" s="56">
        <f>SUM(G241:T241)-N241</f>
        <v>233357.79800000001</v>
      </c>
    </row>
    <row r="242" spans="1:21" ht="84" hidden="1" customHeight="1" x14ac:dyDescent="0.2">
      <c r="A242" s="291">
        <v>4</v>
      </c>
      <c r="B242" s="292" t="s">
        <v>176</v>
      </c>
      <c r="C242" s="293" t="s">
        <v>207</v>
      </c>
      <c r="D242" s="294">
        <v>2020</v>
      </c>
      <c r="E242" s="295" t="s">
        <v>177</v>
      </c>
      <c r="F242" s="90" t="s">
        <v>11</v>
      </c>
      <c r="G242" s="40">
        <v>0</v>
      </c>
      <c r="H242" s="40">
        <v>0</v>
      </c>
      <c r="I242" s="40">
        <v>0</v>
      </c>
      <c r="J242" s="40">
        <v>0</v>
      </c>
      <c r="K242" s="40">
        <v>167.43</v>
      </c>
      <c r="L242" s="40">
        <v>0</v>
      </c>
      <c r="M242" s="40">
        <v>0</v>
      </c>
      <c r="N242" s="6">
        <f t="shared" si="10"/>
        <v>167.43</v>
      </c>
      <c r="O242" s="40">
        <v>0</v>
      </c>
      <c r="P242" s="38">
        <v>0</v>
      </c>
      <c r="Q242" s="38">
        <v>0</v>
      </c>
      <c r="R242" s="38">
        <v>0</v>
      </c>
      <c r="S242" s="38">
        <v>0</v>
      </c>
      <c r="T242" s="38">
        <v>0</v>
      </c>
      <c r="U242" s="38">
        <f>SUM(G242:T242)-N242</f>
        <v>167.43</v>
      </c>
    </row>
    <row r="243" spans="1:21" ht="153" hidden="1" customHeight="1" x14ac:dyDescent="0.2">
      <c r="A243" s="296"/>
      <c r="B243" s="273"/>
      <c r="C243" s="274" t="s">
        <v>178</v>
      </c>
      <c r="D243" s="297" t="s">
        <v>14</v>
      </c>
      <c r="E243" s="259" t="s">
        <v>179</v>
      </c>
      <c r="F243" s="90" t="s">
        <v>11</v>
      </c>
      <c r="G243" s="38">
        <v>199.92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199.92</v>
      </c>
      <c r="O243" s="38">
        <v>0</v>
      </c>
      <c r="P243" s="38">
        <v>0</v>
      </c>
      <c r="Q243" s="38">
        <v>0</v>
      </c>
      <c r="R243" s="38">
        <v>0</v>
      </c>
      <c r="S243" s="38">
        <v>0</v>
      </c>
      <c r="T243" s="38">
        <v>0</v>
      </c>
      <c r="U243" s="38">
        <f t="shared" ref="U243:U245" si="16">SUM(G243:T243)-N243</f>
        <v>199.92</v>
      </c>
    </row>
    <row r="244" spans="1:21" ht="105" hidden="1" customHeight="1" x14ac:dyDescent="0.2">
      <c r="A244" s="298"/>
      <c r="B244" s="299"/>
      <c r="C244" s="394" t="s">
        <v>180</v>
      </c>
      <c r="D244" s="297">
        <v>2021</v>
      </c>
      <c r="E244" s="259" t="s">
        <v>177</v>
      </c>
      <c r="F244" s="90" t="s">
        <v>11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485.1</v>
      </c>
      <c r="M244" s="40">
        <v>0</v>
      </c>
      <c r="N244" s="6">
        <f t="shared" si="10"/>
        <v>485.1</v>
      </c>
      <c r="O244" s="40">
        <v>0</v>
      </c>
      <c r="P244" s="38">
        <v>0</v>
      </c>
      <c r="Q244" s="38">
        <v>0</v>
      </c>
      <c r="R244" s="38">
        <v>0</v>
      </c>
      <c r="S244" s="38">
        <v>0</v>
      </c>
      <c r="T244" s="38">
        <v>0</v>
      </c>
      <c r="U244" s="38">
        <f t="shared" si="16"/>
        <v>485.1</v>
      </c>
    </row>
    <row r="245" spans="1:21" ht="122.25" hidden="1" customHeight="1" x14ac:dyDescent="0.2">
      <c r="A245" s="301"/>
      <c r="B245" s="302"/>
      <c r="C245" s="394" t="s">
        <v>181</v>
      </c>
      <c r="D245" s="297">
        <v>2022</v>
      </c>
      <c r="E245" s="259" t="s">
        <v>177</v>
      </c>
      <c r="F245" s="90" t="s">
        <v>11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488.9</v>
      </c>
      <c r="N245" s="6">
        <f t="shared" si="10"/>
        <v>488.9</v>
      </c>
      <c r="O245" s="40">
        <v>0</v>
      </c>
      <c r="P245" s="38">
        <v>0</v>
      </c>
      <c r="Q245" s="38">
        <v>0</v>
      </c>
      <c r="R245" s="38">
        <v>0</v>
      </c>
      <c r="S245" s="38">
        <v>0</v>
      </c>
      <c r="T245" s="38">
        <v>0</v>
      </c>
      <c r="U245" s="38">
        <f t="shared" si="16"/>
        <v>488.9</v>
      </c>
    </row>
    <row r="246" spans="1:21" ht="40.5" hidden="1" customHeight="1" x14ac:dyDescent="0.2">
      <c r="A246" s="454" t="s">
        <v>75</v>
      </c>
      <c r="B246" s="455"/>
      <c r="C246" s="456"/>
      <c r="D246" s="456"/>
      <c r="E246" s="457"/>
      <c r="F246" s="90" t="s">
        <v>11</v>
      </c>
      <c r="G246" s="56">
        <f>SUM(G242:G245)</f>
        <v>199.92</v>
      </c>
      <c r="H246" s="56">
        <f t="shared" ref="H246:T246" si="17">SUM(H242:H245)</f>
        <v>0</v>
      </c>
      <c r="I246" s="56">
        <f t="shared" si="17"/>
        <v>0</v>
      </c>
      <c r="J246" s="56">
        <f t="shared" si="17"/>
        <v>0</v>
      </c>
      <c r="K246" s="56">
        <f t="shared" si="17"/>
        <v>167.43</v>
      </c>
      <c r="L246" s="56">
        <f t="shared" si="17"/>
        <v>485.1</v>
      </c>
      <c r="M246" s="56">
        <f t="shared" si="17"/>
        <v>488.9</v>
      </c>
      <c r="N246" s="56">
        <f t="shared" si="17"/>
        <v>1341.35</v>
      </c>
      <c r="O246" s="56">
        <f t="shared" si="17"/>
        <v>0</v>
      </c>
      <c r="P246" s="56">
        <f t="shared" si="17"/>
        <v>0</v>
      </c>
      <c r="Q246" s="56">
        <f t="shared" si="17"/>
        <v>0</v>
      </c>
      <c r="R246" s="56">
        <f t="shared" si="17"/>
        <v>0</v>
      </c>
      <c r="S246" s="56">
        <f t="shared" si="17"/>
        <v>0</v>
      </c>
      <c r="T246" s="56">
        <f t="shared" si="17"/>
        <v>0</v>
      </c>
      <c r="U246" s="56">
        <f>SUM(G246:T246)-N246</f>
        <v>1341.35</v>
      </c>
    </row>
    <row r="247" spans="1:21" ht="78.75" hidden="1" customHeight="1" collapsed="1" x14ac:dyDescent="0.2">
      <c r="A247" s="303">
        <v>5</v>
      </c>
      <c r="B247" s="304" t="s">
        <v>182</v>
      </c>
      <c r="C247" s="305" t="s">
        <v>241</v>
      </c>
      <c r="D247" s="306" t="s">
        <v>183</v>
      </c>
      <c r="E247" s="266" t="s">
        <v>177</v>
      </c>
      <c r="F247" s="90" t="s">
        <v>11</v>
      </c>
      <c r="G247" s="38">
        <v>0</v>
      </c>
      <c r="H247" s="38">
        <v>300</v>
      </c>
      <c r="I247" s="38">
        <v>0</v>
      </c>
      <c r="J247" s="38">
        <v>0</v>
      </c>
      <c r="K247" s="38">
        <v>0</v>
      </c>
      <c r="L247" s="38">
        <v>1469</v>
      </c>
      <c r="M247" s="38">
        <v>0</v>
      </c>
      <c r="N247" s="6">
        <f t="shared" si="10"/>
        <v>1769</v>
      </c>
      <c r="O247" s="38">
        <v>0</v>
      </c>
      <c r="P247" s="38">
        <v>0</v>
      </c>
      <c r="Q247" s="38">
        <v>0</v>
      </c>
      <c r="R247" s="38">
        <v>0</v>
      </c>
      <c r="S247" s="38">
        <v>0</v>
      </c>
      <c r="T247" s="38">
        <v>0</v>
      </c>
      <c r="U247" s="38">
        <f>SUM(G247:T247)-N247</f>
        <v>1769</v>
      </c>
    </row>
    <row r="248" spans="1:21" ht="41.25" hidden="1" customHeight="1" x14ac:dyDescent="0.2">
      <c r="A248" s="307"/>
      <c r="B248" s="308"/>
      <c r="C248" s="309" t="s">
        <v>242</v>
      </c>
      <c r="D248" s="310" t="s">
        <v>61</v>
      </c>
      <c r="E248" s="458" t="s">
        <v>177</v>
      </c>
      <c r="F248" s="90" t="s">
        <v>11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8">
        <v>31</v>
      </c>
      <c r="M248" s="38">
        <v>0</v>
      </c>
      <c r="N248" s="6">
        <f t="shared" si="10"/>
        <v>31</v>
      </c>
      <c r="O248" s="38">
        <v>0</v>
      </c>
      <c r="P248" s="38">
        <v>50</v>
      </c>
      <c r="Q248" s="38">
        <v>55</v>
      </c>
      <c r="R248" s="38">
        <v>61</v>
      </c>
      <c r="S248" s="38">
        <v>67</v>
      </c>
      <c r="T248" s="38">
        <v>75</v>
      </c>
      <c r="U248" s="38">
        <f t="shared" ref="U248:U250" si="18">SUM(G248:T248)-N248</f>
        <v>339</v>
      </c>
    </row>
    <row r="249" spans="1:21" ht="52.5" hidden="1" customHeight="1" x14ac:dyDescent="0.2">
      <c r="A249" s="307"/>
      <c r="B249" s="308"/>
      <c r="C249" s="311" t="s">
        <v>184</v>
      </c>
      <c r="D249" s="297" t="s">
        <v>73</v>
      </c>
      <c r="E249" s="459"/>
      <c r="F249" s="90" t="s">
        <v>11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38">
        <v>0</v>
      </c>
      <c r="N249" s="6">
        <f t="shared" si="10"/>
        <v>0</v>
      </c>
      <c r="O249" s="38">
        <v>0</v>
      </c>
      <c r="P249" s="38">
        <v>35</v>
      </c>
      <c r="Q249" s="38">
        <v>40</v>
      </c>
      <c r="R249" s="38">
        <v>45</v>
      </c>
      <c r="S249" s="38">
        <v>50</v>
      </c>
      <c r="T249" s="38">
        <v>55</v>
      </c>
      <c r="U249" s="38">
        <f t="shared" si="18"/>
        <v>225</v>
      </c>
    </row>
    <row r="250" spans="1:21" ht="103.5" hidden="1" customHeight="1" outlineLevel="1" collapsed="1" x14ac:dyDescent="0.2">
      <c r="A250" s="303">
        <v>5</v>
      </c>
      <c r="B250" s="366" t="s">
        <v>182</v>
      </c>
      <c r="C250" s="333" t="s">
        <v>279</v>
      </c>
      <c r="D250" s="349" t="s">
        <v>73</v>
      </c>
      <c r="E250" s="349" t="s">
        <v>249</v>
      </c>
      <c r="F250" s="379" t="s">
        <v>11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337">
        <f t="shared" si="10"/>
        <v>0</v>
      </c>
      <c r="O250" s="337">
        <v>0</v>
      </c>
      <c r="P250" s="337">
        <v>750</v>
      </c>
      <c r="Q250" s="337">
        <v>600</v>
      </c>
      <c r="R250" s="337">
        <v>300</v>
      </c>
      <c r="S250" s="337">
        <v>450</v>
      </c>
      <c r="T250" s="337">
        <v>400</v>
      </c>
      <c r="U250" s="337">
        <f t="shared" si="18"/>
        <v>2500</v>
      </c>
    </row>
    <row r="251" spans="1:21" ht="51.75" hidden="1" customHeight="1" outlineLevel="1" x14ac:dyDescent="0.2">
      <c r="A251" s="460" t="s">
        <v>75</v>
      </c>
      <c r="B251" s="461"/>
      <c r="C251" s="462"/>
      <c r="D251" s="462"/>
      <c r="E251" s="463"/>
      <c r="F251" s="403" t="s">
        <v>11</v>
      </c>
      <c r="G251" s="363">
        <f>G247+G248+G249</f>
        <v>0</v>
      </c>
      <c r="H251" s="363">
        <f t="shared" ref="H251:M251" si="19">H247+H248+H249</f>
        <v>300</v>
      </c>
      <c r="I251" s="363">
        <f t="shared" si="19"/>
        <v>0</v>
      </c>
      <c r="J251" s="363">
        <f t="shared" si="19"/>
        <v>0</v>
      </c>
      <c r="K251" s="363">
        <f t="shared" si="19"/>
        <v>0</v>
      </c>
      <c r="L251" s="363">
        <f t="shared" si="19"/>
        <v>1500</v>
      </c>
      <c r="M251" s="363">
        <f t="shared" si="19"/>
        <v>0</v>
      </c>
      <c r="N251" s="363">
        <f>G251+H251+I251+J251+K251+L251+M251</f>
        <v>1800</v>
      </c>
      <c r="O251" s="363">
        <f>O247+O248+O249+O250</f>
        <v>0</v>
      </c>
      <c r="P251" s="363">
        <f t="shared" ref="P251:T251" si="20">P247+P248+P249+P250</f>
        <v>835</v>
      </c>
      <c r="Q251" s="363">
        <f t="shared" si="20"/>
        <v>695</v>
      </c>
      <c r="R251" s="363">
        <f t="shared" si="20"/>
        <v>406</v>
      </c>
      <c r="S251" s="363">
        <f t="shared" si="20"/>
        <v>567</v>
      </c>
      <c r="T251" s="363">
        <f t="shared" si="20"/>
        <v>530</v>
      </c>
      <c r="U251" s="363">
        <f>SUM(G251:T251)-N251</f>
        <v>4833</v>
      </c>
    </row>
    <row r="252" spans="1:21" ht="72" customHeight="1" collapsed="1" x14ac:dyDescent="0.2">
      <c r="A252" s="449" t="s">
        <v>185</v>
      </c>
      <c r="B252" s="450"/>
      <c r="C252" s="364"/>
      <c r="D252" s="365"/>
      <c r="E252" s="365"/>
      <c r="F252" s="90" t="s">
        <v>299</v>
      </c>
      <c r="G252" s="61">
        <f t="shared" ref="G252:T252" si="21">G246+G85+G224+G241+G251</f>
        <v>254461.71999999997</v>
      </c>
      <c r="H252" s="61">
        <f t="shared" si="21"/>
        <v>419562.19999999995</v>
      </c>
      <c r="I252" s="61">
        <f t="shared" si="21"/>
        <v>461134.5</v>
      </c>
      <c r="J252" s="61">
        <f t="shared" si="21"/>
        <v>614158.40000000014</v>
      </c>
      <c r="K252" s="61">
        <f t="shared" si="21"/>
        <v>910764.79</v>
      </c>
      <c r="L252" s="61">
        <f t="shared" si="21"/>
        <v>2006163.4</v>
      </c>
      <c r="M252" s="61">
        <f t="shared" si="21"/>
        <v>2130497.2000000002</v>
      </c>
      <c r="N252" s="61">
        <f t="shared" si="21"/>
        <v>6796742.21</v>
      </c>
      <c r="O252" s="61">
        <f t="shared" si="21"/>
        <v>2120341.898</v>
      </c>
      <c r="P252" s="61">
        <f t="shared" si="21"/>
        <v>1849788.28614</v>
      </c>
      <c r="Q252" s="61">
        <f t="shared" si="21"/>
        <v>1601473.1761099999</v>
      </c>
      <c r="R252" s="61">
        <f t="shared" si="21"/>
        <v>1799931.0643600002</v>
      </c>
      <c r="S252" s="61">
        <f t="shared" si="21"/>
        <v>2085138.2713599997</v>
      </c>
      <c r="T252" s="61">
        <f t="shared" si="21"/>
        <v>2368884.3796440912</v>
      </c>
      <c r="U252" s="61">
        <f>SUM(G252:T252)-N252</f>
        <v>18622299.285614088</v>
      </c>
    </row>
    <row r="253" spans="1:21" ht="39" customHeight="1" x14ac:dyDescent="0.2">
      <c r="A253" s="62"/>
      <c r="B253" s="451" t="s">
        <v>248</v>
      </c>
      <c r="C253" s="451"/>
      <c r="D253" s="451"/>
      <c r="E253" s="451"/>
      <c r="F253" s="451"/>
      <c r="G253" s="451"/>
      <c r="H253" s="451"/>
      <c r="I253" s="451"/>
      <c r="J253" s="451"/>
      <c r="K253" s="451"/>
      <c r="L253" s="451"/>
      <c r="M253" s="451"/>
      <c r="N253" s="451"/>
      <c r="O253" s="451"/>
      <c r="P253" s="451"/>
      <c r="Q253" s="451"/>
      <c r="R253" s="451"/>
      <c r="S253" s="451"/>
      <c r="T253" s="451"/>
      <c r="U253" s="451"/>
    </row>
    <row r="254" spans="1:21" ht="69.75" customHeight="1" x14ac:dyDescent="0.25">
      <c r="B254" s="63" t="s">
        <v>101</v>
      </c>
      <c r="D254" s="63"/>
      <c r="E254" s="63"/>
    </row>
    <row r="255" spans="1:21" s="317" customFormat="1" ht="33" customHeight="1" x14ac:dyDescent="0.45">
      <c r="B255" s="452" t="s">
        <v>293</v>
      </c>
      <c r="C255" s="452"/>
      <c r="D255" s="452"/>
      <c r="E255" s="452"/>
      <c r="F255" s="452"/>
      <c r="G255" s="452"/>
      <c r="H255" s="452"/>
      <c r="I255" s="452"/>
      <c r="J255" s="452"/>
      <c r="K255" s="452"/>
      <c r="L255" s="318"/>
      <c r="M255" s="318"/>
      <c r="N255" s="319"/>
      <c r="O255" s="318"/>
      <c r="P255" s="318"/>
    </row>
    <row r="256" spans="1:21" s="317" customFormat="1" ht="33" customHeight="1" x14ac:dyDescent="0.45">
      <c r="B256" s="452" t="s">
        <v>294</v>
      </c>
      <c r="C256" s="452"/>
      <c r="D256" s="452"/>
      <c r="E256" s="452"/>
      <c r="F256" s="452"/>
      <c r="G256" s="452"/>
      <c r="H256" s="452"/>
      <c r="I256" s="452"/>
      <c r="J256" s="452"/>
      <c r="K256" s="452"/>
      <c r="L256" s="318"/>
      <c r="M256" s="318"/>
      <c r="N256" s="319" t="s">
        <v>295</v>
      </c>
      <c r="O256" s="318"/>
      <c r="P256" s="318"/>
    </row>
    <row r="257" spans="3:21" s="7" customFormat="1" x14ac:dyDescent="0.2">
      <c r="C257" s="64"/>
    </row>
    <row r="258" spans="3:21" hidden="1" x14ac:dyDescent="0.2">
      <c r="Q258" s="218">
        <f>Q85-'додаток сесія_24_25табло'!Q80</f>
        <v>0</v>
      </c>
      <c r="R258" s="218">
        <f>R85-'додаток сесія_24_25табло'!R80</f>
        <v>8000</v>
      </c>
      <c r="S258" s="218">
        <f>S85-'додаток сесія_24_25табло'!S80</f>
        <v>0</v>
      </c>
      <c r="T258" s="218">
        <f>T85-'додаток сесія_24_25табло'!T80</f>
        <v>5300</v>
      </c>
      <c r="U258" s="218">
        <f>U85-'додаток сесія_24_25табло'!U80</f>
        <v>13300</v>
      </c>
    </row>
    <row r="259" spans="3:21" hidden="1" x14ac:dyDescent="0.2">
      <c r="Q259" s="218">
        <f>Q252-'додаток сесія_24_25викна'!Q249</f>
        <v>18.285000000149012</v>
      </c>
      <c r="R259" s="218">
        <f>R252-'додаток сесія_24_25викна'!R249</f>
        <v>101540.5</v>
      </c>
      <c r="S259" s="218">
        <f>S252-'додаток сесія_24_25викна'!S249</f>
        <v>301499.99999999977</v>
      </c>
      <c r="T259" s="218">
        <f>T252-'додаток сесія_24_25викна'!T249</f>
        <v>227421.50999999978</v>
      </c>
      <c r="U259" s="218">
        <f>U252-'додаток сесія_24_25викна'!U249</f>
        <v>630480.29500000179</v>
      </c>
    </row>
    <row r="260" spans="3:21" hidden="1" x14ac:dyDescent="0.2">
      <c r="Q260" s="218">
        <f t="shared" ref="Q260:U260" si="22">Q259-Q258</f>
        <v>18.285000000149012</v>
      </c>
      <c r="R260" s="218">
        <f t="shared" si="22"/>
        <v>93540.5</v>
      </c>
      <c r="S260" s="218">
        <f t="shared" si="22"/>
        <v>301499.99999999977</v>
      </c>
      <c r="T260" s="218">
        <f t="shared" si="22"/>
        <v>222121.50999999978</v>
      </c>
      <c r="U260" s="218">
        <f t="shared" si="22"/>
        <v>617180.29500000179</v>
      </c>
    </row>
    <row r="261" spans="3:21" hidden="1" x14ac:dyDescent="0.2">
      <c r="Q261" s="218">
        <f>Q252-'додаток сесія_24_25викна'!Q249</f>
        <v>18.285000000149012</v>
      </c>
      <c r="R261" s="218">
        <f>R252-'додаток сесія_24_25викна'!R249</f>
        <v>101540.5</v>
      </c>
      <c r="S261" s="218">
        <f>S252-'додаток сесія_24_25викна'!S249</f>
        <v>301499.99999999977</v>
      </c>
      <c r="T261" s="218">
        <f>T252-'додаток сесія_24_25викна'!T249</f>
        <v>227421.50999999978</v>
      </c>
      <c r="U261" s="218">
        <f>U252-'додаток сесія_24_25викна'!U249</f>
        <v>630480.29500000179</v>
      </c>
    </row>
    <row r="262" spans="3:21" hidden="1" x14ac:dyDescent="0.2"/>
  </sheetData>
  <sheetProtection selectLockedCells="1" selectUnlockedCells="1"/>
  <mergeCells count="53">
    <mergeCell ref="A252:B252"/>
    <mergeCell ref="B253:U253"/>
    <mergeCell ref="B255:K255"/>
    <mergeCell ref="B256:K256"/>
    <mergeCell ref="A86:A88"/>
    <mergeCell ref="A241:B241"/>
    <mergeCell ref="A246:B246"/>
    <mergeCell ref="C246:E246"/>
    <mergeCell ref="E248:E249"/>
    <mergeCell ref="A251:B251"/>
    <mergeCell ref="C251:E251"/>
    <mergeCell ref="E88:E181"/>
    <mergeCell ref="B88:B157"/>
    <mergeCell ref="A85:B85"/>
    <mergeCell ref="A224:B224"/>
    <mergeCell ref="C224:E224"/>
    <mergeCell ref="B225:B231"/>
    <mergeCell ref="E225:E228"/>
    <mergeCell ref="E229:E230"/>
    <mergeCell ref="U14:U15"/>
    <mergeCell ref="E17:E24"/>
    <mergeCell ref="B44:B51"/>
    <mergeCell ref="E44:E50"/>
    <mergeCell ref="A64:A65"/>
    <mergeCell ref="Q14:Q15"/>
    <mergeCell ref="R14:R15"/>
    <mergeCell ref="S14:S15"/>
    <mergeCell ref="T14:T15"/>
    <mergeCell ref="B12:B15"/>
    <mergeCell ref="C12:C15"/>
    <mergeCell ref="D12:D15"/>
    <mergeCell ref="E12:E15"/>
    <mergeCell ref="B72:B74"/>
    <mergeCell ref="A73:A74"/>
    <mergeCell ref="A17:A18"/>
    <mergeCell ref="O14:O15"/>
    <mergeCell ref="P14:P15"/>
    <mergeCell ref="F12:F15"/>
    <mergeCell ref="G12:U13"/>
    <mergeCell ref="G14:G15"/>
    <mergeCell ref="H14:H15"/>
    <mergeCell ref="I14:I15"/>
    <mergeCell ref="J14:J15"/>
    <mergeCell ref="K14:K15"/>
    <mergeCell ref="L14:L15"/>
    <mergeCell ref="M14:M15"/>
    <mergeCell ref="N14:N15"/>
    <mergeCell ref="A12:A15"/>
    <mergeCell ref="L3:U3"/>
    <mergeCell ref="A6:U6"/>
    <mergeCell ref="A7:U7"/>
    <mergeCell ref="M9:U9"/>
    <mergeCell ref="A10:U10"/>
  </mergeCells>
  <printOptions horizontalCentered="1"/>
  <pageMargins left="0.39370078740157483" right="0.39370078740157483" top="0.59055118110236227" bottom="0.23622047244094491" header="0.43307086614173229" footer="0"/>
  <pageSetup paperSize="9" scale="57" firstPageNumber="0" fitToHeight="2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43" max="20" man="1"/>
    <brk id="75" max="20" man="1"/>
    <brk id="2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1"/>
  <sheetViews>
    <sheetView view="pageBreakPreview" zoomScaleNormal="100" zoomScaleSheetLayoutView="100" workbookViewId="0">
      <pane xSplit="13" ySplit="16" topLeftCell="N17" activePane="bottomRight" state="frozen"/>
      <selection pane="topRight" activeCell="N1" sqref="N1"/>
      <selection pane="bottomLeft" activeCell="A12" sqref="A12"/>
      <selection pane="bottomRight" activeCell="V15" sqref="A15:XFD246"/>
    </sheetView>
  </sheetViews>
  <sheetFormatPr defaultRowHeight="13.5" outlineLevelRow="3" x14ac:dyDescent="0.2"/>
  <cols>
    <col min="1" max="1" width="5.28515625" style="1" customWidth="1"/>
    <col min="2" max="2" width="22.7109375" style="1" customWidth="1"/>
    <col min="3" max="3" width="60.42578125" style="2" customWidth="1"/>
    <col min="4" max="4" width="9.140625" style="1" customWidth="1"/>
    <col min="5" max="5" width="21.285156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4.5703125" style="1" customWidth="1"/>
    <col min="15" max="15" width="14.42578125" style="1" customWidth="1"/>
    <col min="16" max="16" width="14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9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/>
      <c r="S1" s="87" t="s">
        <v>190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243"/>
      <c r="L2" s="243"/>
      <c r="M2" s="243"/>
      <c r="N2" s="243"/>
      <c r="O2" s="243"/>
      <c r="P2" s="243"/>
      <c r="Q2" s="243"/>
      <c r="R2" s="87"/>
      <c r="S2" s="87" t="s">
        <v>300</v>
      </c>
      <c r="T2" s="243"/>
      <c r="U2" s="243"/>
    </row>
    <row r="3" spans="1:21" ht="15.75" customHeight="1" x14ac:dyDescent="0.3">
      <c r="A3" s="3"/>
      <c r="B3" s="3"/>
      <c r="C3" s="4"/>
      <c r="D3" s="3"/>
      <c r="E3" s="3"/>
      <c r="F3" s="3"/>
      <c r="G3" s="3"/>
      <c r="H3" s="3"/>
      <c r="I3" s="3"/>
      <c r="J3" s="243"/>
      <c r="K3" s="243"/>
      <c r="L3" s="416"/>
      <c r="M3" s="417"/>
      <c r="N3" s="417"/>
      <c r="O3" s="417"/>
      <c r="P3" s="417"/>
      <c r="Q3" s="417"/>
      <c r="R3" s="417"/>
      <c r="S3" s="417"/>
      <c r="T3" s="417"/>
      <c r="U3" s="417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243"/>
      <c r="K4" s="243"/>
      <c r="L4" s="243"/>
      <c r="M4" s="244"/>
      <c r="N4" s="244"/>
      <c r="O4" s="244"/>
      <c r="P4" s="244"/>
      <c r="Q4" s="244"/>
      <c r="R4" s="244"/>
      <c r="S4" s="244"/>
      <c r="T4" s="244"/>
      <c r="U4" s="244"/>
    </row>
    <row r="5" spans="1:21" ht="15.75" customHeight="1" x14ac:dyDescent="0.3">
      <c r="A5" s="3"/>
      <c r="B5" s="3"/>
      <c r="C5" s="4"/>
      <c r="D5" s="3"/>
      <c r="E5" s="3"/>
      <c r="F5" s="3"/>
      <c r="G5" s="3"/>
      <c r="H5" s="3"/>
      <c r="I5" s="3"/>
      <c r="J5" s="381"/>
      <c r="K5" s="381"/>
      <c r="L5" s="381"/>
      <c r="M5" s="382"/>
      <c r="N5" s="382"/>
      <c r="O5" s="382"/>
      <c r="P5" s="382"/>
      <c r="Q5" s="382"/>
      <c r="R5" s="382"/>
      <c r="S5" s="382"/>
      <c r="T5" s="382"/>
      <c r="U5" s="382"/>
    </row>
    <row r="6" spans="1:21" ht="24" customHeight="1" x14ac:dyDescent="0.4">
      <c r="A6" s="418" t="s">
        <v>297</v>
      </c>
      <c r="B6" s="418"/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</row>
    <row r="7" spans="1:21" ht="24" customHeight="1" x14ac:dyDescent="0.4">
      <c r="A7" s="418" t="s">
        <v>298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</row>
    <row r="8" spans="1:21" ht="6.75" customHeight="1" x14ac:dyDescent="0.3">
      <c r="A8" s="3"/>
      <c r="B8" s="3"/>
      <c r="C8" s="4"/>
      <c r="D8" s="3"/>
      <c r="E8" s="3"/>
      <c r="F8" s="3"/>
      <c r="G8" s="3"/>
      <c r="H8" s="3"/>
      <c r="I8" s="3"/>
      <c r="J8" s="243"/>
      <c r="K8" s="243"/>
      <c r="L8" s="243"/>
      <c r="M8" s="244"/>
      <c r="N8" s="244"/>
      <c r="O8" s="244"/>
      <c r="P8" s="244"/>
      <c r="Q8" s="244"/>
      <c r="R8" s="244"/>
      <c r="S8" s="244"/>
      <c r="T8" s="244"/>
      <c r="U8" s="244"/>
    </row>
    <row r="9" spans="1:21" ht="15.75" customHeight="1" x14ac:dyDescent="0.3">
      <c r="A9" s="3"/>
      <c r="B9" s="3"/>
      <c r="C9" s="4"/>
      <c r="D9" s="3"/>
      <c r="E9" s="3"/>
      <c r="F9" s="3"/>
      <c r="G9" s="3"/>
      <c r="H9" s="3"/>
      <c r="I9" s="3"/>
      <c r="J9" s="245"/>
      <c r="K9" s="245"/>
      <c r="L9" s="245"/>
      <c r="M9" s="419"/>
      <c r="N9" s="419"/>
      <c r="O9" s="420"/>
      <c r="P9" s="420"/>
      <c r="Q9" s="420"/>
      <c r="R9" s="420"/>
      <c r="S9" s="420"/>
      <c r="T9" s="420"/>
      <c r="U9" s="420"/>
    </row>
    <row r="10" spans="1:21" ht="24" customHeight="1" x14ac:dyDescent="0.4">
      <c r="A10" s="418" t="s">
        <v>0</v>
      </c>
      <c r="B10" s="418"/>
      <c r="C10" s="418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</row>
    <row r="12" spans="1:21" s="246" customFormat="1" ht="39.75" customHeight="1" x14ac:dyDescent="0.25">
      <c r="A12" s="434" t="s">
        <v>1</v>
      </c>
      <c r="B12" s="429" t="s">
        <v>2</v>
      </c>
      <c r="C12" s="440" t="s">
        <v>3</v>
      </c>
      <c r="D12" s="429" t="s">
        <v>4</v>
      </c>
      <c r="E12" s="429" t="s">
        <v>5</v>
      </c>
      <c r="F12" s="429" t="s">
        <v>218</v>
      </c>
      <c r="G12" s="429" t="s">
        <v>6</v>
      </c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32"/>
    </row>
    <row r="13" spans="1:21" s="246" customFormat="1" ht="15.75" x14ac:dyDescent="0.25">
      <c r="A13" s="435"/>
      <c r="B13" s="430"/>
      <c r="C13" s="441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3"/>
    </row>
    <row r="14" spans="1:21" s="246" customFormat="1" ht="26.25" customHeight="1" x14ac:dyDescent="0.25">
      <c r="A14" s="435"/>
      <c r="B14" s="430"/>
      <c r="C14" s="441"/>
      <c r="D14" s="430"/>
      <c r="E14" s="430"/>
      <c r="F14" s="430"/>
      <c r="G14" s="427">
        <v>2016</v>
      </c>
      <c r="H14" s="427">
        <v>2017</v>
      </c>
      <c r="I14" s="427">
        <v>2018</v>
      </c>
      <c r="J14" s="427">
        <v>2019</v>
      </c>
      <c r="K14" s="427">
        <v>2020</v>
      </c>
      <c r="L14" s="427">
        <v>2021</v>
      </c>
      <c r="M14" s="427">
        <v>2022</v>
      </c>
      <c r="N14" s="427" t="s">
        <v>209</v>
      </c>
      <c r="O14" s="427">
        <v>2023</v>
      </c>
      <c r="P14" s="427">
        <v>2024</v>
      </c>
      <c r="Q14" s="427">
        <v>2025</v>
      </c>
      <c r="R14" s="427">
        <v>2026</v>
      </c>
      <c r="S14" s="427">
        <v>2027</v>
      </c>
      <c r="T14" s="427">
        <v>2028</v>
      </c>
      <c r="U14" s="436" t="s">
        <v>7</v>
      </c>
    </row>
    <row r="15" spans="1:21" s="246" customFormat="1" ht="20.25" customHeight="1" x14ac:dyDescent="0.25">
      <c r="A15" s="435"/>
      <c r="B15" s="431"/>
      <c r="C15" s="441"/>
      <c r="D15" s="431"/>
      <c r="E15" s="431"/>
      <c r="F15" s="431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428"/>
      <c r="S15" s="428"/>
      <c r="T15" s="428"/>
      <c r="U15" s="437"/>
    </row>
    <row r="16" spans="1:21" ht="21" hidden="1" customHeight="1" x14ac:dyDescent="0.2">
      <c r="A16" s="130">
        <v>1</v>
      </c>
      <c r="B16" s="201">
        <v>2</v>
      </c>
      <c r="C16" s="201">
        <v>3</v>
      </c>
      <c r="D16" s="201">
        <v>4</v>
      </c>
      <c r="E16" s="201">
        <v>5</v>
      </c>
      <c r="F16" s="201">
        <v>6</v>
      </c>
      <c r="G16" s="201"/>
      <c r="H16" s="201"/>
      <c r="I16" s="201"/>
      <c r="J16" s="201"/>
      <c r="K16" s="201"/>
      <c r="L16" s="201"/>
      <c r="M16" s="201"/>
      <c r="N16" s="201">
        <v>7</v>
      </c>
      <c r="O16" s="201">
        <v>8</v>
      </c>
      <c r="P16" s="201">
        <v>9</v>
      </c>
      <c r="Q16" s="201">
        <v>10</v>
      </c>
      <c r="R16" s="201">
        <v>11</v>
      </c>
      <c r="S16" s="201">
        <v>12</v>
      </c>
      <c r="T16" s="201">
        <v>13</v>
      </c>
      <c r="U16" s="202">
        <v>14</v>
      </c>
    </row>
    <row r="17" spans="1:21" s="7" customFormat="1" ht="57" hidden="1" customHeight="1" outlineLevel="1" x14ac:dyDescent="0.2">
      <c r="A17" s="101">
        <v>1</v>
      </c>
      <c r="B17" s="219" t="s">
        <v>8</v>
      </c>
      <c r="C17" s="197" t="s">
        <v>9</v>
      </c>
      <c r="D17" s="93" t="s">
        <v>10</v>
      </c>
      <c r="E17" s="425" t="s">
        <v>271</v>
      </c>
      <c r="F17" s="108" t="s">
        <v>11</v>
      </c>
      <c r="G17" s="22">
        <v>73702.679999999993</v>
      </c>
      <c r="H17" s="22">
        <f>94537.8+830</f>
        <v>95367.8</v>
      </c>
      <c r="I17" s="22">
        <v>114042.5</v>
      </c>
      <c r="J17" s="22">
        <v>143546.20000000001</v>
      </c>
      <c r="K17" s="22">
        <v>227890.4</v>
      </c>
      <c r="L17" s="22">
        <f>59251.7+11539-1500+103.7+3900</f>
        <v>73294.399999999994</v>
      </c>
      <c r="M17" s="22">
        <v>0</v>
      </c>
      <c r="N17" s="22">
        <f>G17+H17+I17+J17+K17+L17+M17</f>
        <v>727843.98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f>SUM(G17:T17)-N17</f>
        <v>727843.98</v>
      </c>
    </row>
    <row r="18" spans="1:21" s="7" customFormat="1" ht="110.25" hidden="1" customHeight="1" outlineLevel="1" x14ac:dyDescent="0.2">
      <c r="A18" s="241">
        <v>1</v>
      </c>
      <c r="B18" s="239"/>
      <c r="C18" s="198" t="s">
        <v>262</v>
      </c>
      <c r="D18" s="95" t="s">
        <v>258</v>
      </c>
      <c r="E18" s="426"/>
      <c r="F18" s="34" t="s">
        <v>11</v>
      </c>
      <c r="G18" s="6">
        <v>9960</v>
      </c>
      <c r="H18" s="6">
        <v>9960</v>
      </c>
      <c r="I18" s="6">
        <v>400</v>
      </c>
      <c r="J18" s="6">
        <v>2102.1999999999998</v>
      </c>
      <c r="K18" s="6">
        <v>20800</v>
      </c>
      <c r="L18" s="6">
        <v>0</v>
      </c>
      <c r="M18" s="6">
        <v>0</v>
      </c>
      <c r="N18" s="6">
        <f t="shared" ref="N18:N81" si="0">G18+H18+I18+J18+K18+L18+M18</f>
        <v>43222.2</v>
      </c>
      <c r="O18" s="6">
        <f>0+5200</f>
        <v>5200</v>
      </c>
      <c r="P18" s="6">
        <v>5600</v>
      </c>
      <c r="Q18" s="6">
        <f>7000-7000</f>
        <v>0</v>
      </c>
      <c r="R18" s="6">
        <f>8000-8000</f>
        <v>0</v>
      </c>
      <c r="S18" s="6">
        <f>9000-9000</f>
        <v>0</v>
      </c>
      <c r="T18" s="6">
        <f>10000-10000</f>
        <v>0</v>
      </c>
      <c r="U18" s="6">
        <f t="shared" ref="U18:U81" si="1">SUM(G18:T18)-N18</f>
        <v>54022.2</v>
      </c>
    </row>
    <row r="19" spans="1:21" s="7" customFormat="1" ht="48.75" hidden="1" customHeight="1" outlineLevel="1" x14ac:dyDescent="0.2">
      <c r="A19" s="8"/>
      <c r="B19" s="239"/>
      <c r="C19" s="198" t="s">
        <v>12</v>
      </c>
      <c r="D19" s="95" t="s">
        <v>258</v>
      </c>
      <c r="E19" s="426"/>
      <c r="F19" s="24" t="s">
        <v>11</v>
      </c>
      <c r="G19" s="6">
        <v>17132.7</v>
      </c>
      <c r="H19" s="9">
        <v>15000</v>
      </c>
      <c r="I19" s="9">
        <v>8150</v>
      </c>
      <c r="J19" s="9">
        <v>7800</v>
      </c>
      <c r="K19" s="9">
        <v>13000</v>
      </c>
      <c r="L19" s="9">
        <v>12500</v>
      </c>
      <c r="M19" s="9">
        <v>13750</v>
      </c>
      <c r="N19" s="6">
        <f t="shared" si="0"/>
        <v>87332.7</v>
      </c>
      <c r="O19" s="9">
        <f>15125-5200</f>
        <v>9925</v>
      </c>
      <c r="P19" s="9">
        <v>0</v>
      </c>
      <c r="Q19" s="9">
        <f>20000-20000</f>
        <v>0</v>
      </c>
      <c r="R19" s="9">
        <f>22000-22000</f>
        <v>0</v>
      </c>
      <c r="S19" s="9">
        <f>18000-18000</f>
        <v>0</v>
      </c>
      <c r="T19" s="9">
        <f>20000-20000</f>
        <v>0</v>
      </c>
      <c r="U19" s="6">
        <f t="shared" si="1"/>
        <v>97257.7</v>
      </c>
    </row>
    <row r="20" spans="1:21" s="7" customFormat="1" ht="46.5" hidden="1" customHeight="1" outlineLevel="1" x14ac:dyDescent="0.2">
      <c r="A20" s="8"/>
      <c r="B20" s="239"/>
      <c r="C20" s="198" t="s">
        <v>13</v>
      </c>
      <c r="D20" s="95" t="s">
        <v>14</v>
      </c>
      <c r="E20" s="426"/>
      <c r="F20" s="24" t="s">
        <v>11</v>
      </c>
      <c r="G20" s="6">
        <v>100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100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100</v>
      </c>
    </row>
    <row r="21" spans="1:21" s="7" customFormat="1" ht="46.5" hidden="1" customHeight="1" outlineLevel="1" x14ac:dyDescent="0.2">
      <c r="A21" s="8"/>
      <c r="B21" s="239"/>
      <c r="C21" s="198" t="s">
        <v>15</v>
      </c>
      <c r="D21" s="95" t="s">
        <v>14</v>
      </c>
      <c r="E21" s="426"/>
      <c r="F21" s="24" t="s">
        <v>11</v>
      </c>
      <c r="G21" s="6">
        <v>290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290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290</v>
      </c>
    </row>
    <row r="22" spans="1:21" s="7" customFormat="1" ht="42.75" hidden="1" customHeight="1" outlineLevel="1" x14ac:dyDescent="0.2">
      <c r="A22" s="8"/>
      <c r="B22" s="239"/>
      <c r="C22" s="198" t="s">
        <v>16</v>
      </c>
      <c r="D22" s="95" t="s">
        <v>14</v>
      </c>
      <c r="E22" s="426"/>
      <c r="F22" s="24" t="s">
        <v>11</v>
      </c>
      <c r="G22" s="6">
        <v>60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60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60</v>
      </c>
    </row>
    <row r="23" spans="1:21" s="7" customFormat="1" ht="44.25" hidden="1" customHeight="1" outlineLevel="1" x14ac:dyDescent="0.2">
      <c r="A23" s="8"/>
      <c r="B23" s="239"/>
      <c r="C23" s="198" t="s">
        <v>17</v>
      </c>
      <c r="D23" s="95" t="s">
        <v>14</v>
      </c>
      <c r="E23" s="426"/>
      <c r="F23" s="24" t="s">
        <v>11</v>
      </c>
      <c r="G23" s="6">
        <v>100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100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100</v>
      </c>
    </row>
    <row r="24" spans="1:21" s="7" customFormat="1" ht="42" hidden="1" customHeight="1" outlineLevel="1" collapsed="1" x14ac:dyDescent="0.2">
      <c r="A24" s="8"/>
      <c r="B24" s="239"/>
      <c r="C24" s="198" t="s">
        <v>18</v>
      </c>
      <c r="D24" s="95" t="s">
        <v>25</v>
      </c>
      <c r="E24" s="426"/>
      <c r="F24" s="24" t="s">
        <v>11</v>
      </c>
      <c r="G24" s="9">
        <v>0</v>
      </c>
      <c r="H24" s="9">
        <v>3500</v>
      </c>
      <c r="I24" s="9">
        <v>1200</v>
      </c>
      <c r="J24" s="9">
        <v>20000</v>
      </c>
      <c r="K24" s="9">
        <v>12050</v>
      </c>
      <c r="L24" s="9">
        <v>15500</v>
      </c>
      <c r="M24" s="9">
        <v>3850</v>
      </c>
      <c r="N24" s="6">
        <f t="shared" si="0"/>
        <v>56100</v>
      </c>
      <c r="O24" s="9">
        <v>4235</v>
      </c>
      <c r="P24" s="9">
        <v>0</v>
      </c>
      <c r="Q24" s="9">
        <f>3500-3500</f>
        <v>0</v>
      </c>
      <c r="R24" s="9">
        <f>4000-4000</f>
        <v>0</v>
      </c>
      <c r="S24" s="9">
        <f>4500-4500</f>
        <v>0</v>
      </c>
      <c r="T24" s="9">
        <f>5000-5000</f>
        <v>0</v>
      </c>
      <c r="U24" s="6">
        <f t="shared" si="1"/>
        <v>60335</v>
      </c>
    </row>
    <row r="25" spans="1:21" s="7" customFormat="1" ht="46.5" hidden="1" customHeight="1" outlineLevel="1" x14ac:dyDescent="0.2">
      <c r="A25" s="10"/>
      <c r="B25" s="11"/>
      <c r="C25" s="198" t="s">
        <v>19</v>
      </c>
      <c r="D25" s="96" t="s">
        <v>14</v>
      </c>
      <c r="E25" s="10"/>
      <c r="F25" s="24" t="s">
        <v>11</v>
      </c>
      <c r="G25" s="9">
        <v>0</v>
      </c>
      <c r="H25" s="9">
        <v>200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6">
        <f t="shared" si="0"/>
        <v>200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6">
        <f t="shared" si="1"/>
        <v>200</v>
      </c>
    </row>
    <row r="26" spans="1:21" s="7" customFormat="1" ht="43.5" hidden="1" customHeight="1" outlineLevel="1" x14ac:dyDescent="0.2">
      <c r="A26" s="8"/>
      <c r="B26" s="10"/>
      <c r="C26" s="198" t="s">
        <v>20</v>
      </c>
      <c r="D26" s="95" t="s">
        <v>14</v>
      </c>
      <c r="E26" s="10"/>
      <c r="F26" s="24" t="s">
        <v>11</v>
      </c>
      <c r="G26" s="9">
        <v>0</v>
      </c>
      <c r="H26" s="6">
        <v>60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6">
        <f t="shared" si="0"/>
        <v>60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6">
        <f t="shared" si="1"/>
        <v>60</v>
      </c>
    </row>
    <row r="27" spans="1:21" s="7" customFormat="1" ht="54.75" hidden="1" customHeight="1" outlineLevel="1" x14ac:dyDescent="0.2">
      <c r="A27" s="8"/>
      <c r="B27" s="10"/>
      <c r="C27" s="199" t="s">
        <v>21</v>
      </c>
      <c r="D27" s="96" t="s">
        <v>14</v>
      </c>
      <c r="E27" s="10"/>
      <c r="F27" s="24" t="s">
        <v>11</v>
      </c>
      <c r="G27" s="9">
        <v>0</v>
      </c>
      <c r="H27" s="6">
        <v>150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6">
        <f t="shared" si="0"/>
        <v>150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6">
        <f t="shared" si="1"/>
        <v>150</v>
      </c>
    </row>
    <row r="28" spans="1:21" s="7" customFormat="1" ht="44.25" hidden="1" customHeight="1" outlineLevel="1" x14ac:dyDescent="0.2">
      <c r="A28" s="8"/>
      <c r="B28" s="10"/>
      <c r="C28" s="197" t="s">
        <v>22</v>
      </c>
      <c r="D28" s="93" t="s">
        <v>14</v>
      </c>
      <c r="E28" s="10"/>
      <c r="F28" s="24" t="s">
        <v>11</v>
      </c>
      <c r="G28" s="9">
        <v>0</v>
      </c>
      <c r="H28" s="6">
        <v>150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6">
        <f t="shared" si="0"/>
        <v>150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6">
        <f t="shared" si="1"/>
        <v>150</v>
      </c>
    </row>
    <row r="29" spans="1:21" s="7" customFormat="1" ht="47.25" hidden="1" customHeight="1" outlineLevel="1" collapsed="1" x14ac:dyDescent="0.2">
      <c r="A29" s="8"/>
      <c r="B29" s="11"/>
      <c r="C29" s="198" t="s">
        <v>23</v>
      </c>
      <c r="D29" s="95" t="s">
        <v>209</v>
      </c>
      <c r="E29" s="10"/>
      <c r="F29" s="24" t="s">
        <v>11</v>
      </c>
      <c r="G29" s="9">
        <v>0</v>
      </c>
      <c r="H29" s="6">
        <v>5500</v>
      </c>
      <c r="I29" s="6">
        <v>42900</v>
      </c>
      <c r="J29" s="6">
        <v>11871.2</v>
      </c>
      <c r="K29" s="6">
        <v>11940.3</v>
      </c>
      <c r="L29" s="6">
        <v>6000</v>
      </c>
      <c r="M29" s="6">
        <v>0</v>
      </c>
      <c r="N29" s="6">
        <f t="shared" si="0"/>
        <v>78211.5</v>
      </c>
      <c r="O29" s="6">
        <v>0</v>
      </c>
      <c r="P29" s="6">
        <v>0</v>
      </c>
      <c r="Q29" s="6">
        <f>5000-5000</f>
        <v>0</v>
      </c>
      <c r="R29" s="6">
        <f>5000-5000</f>
        <v>0</v>
      </c>
      <c r="S29" s="6">
        <v>0</v>
      </c>
      <c r="T29" s="6">
        <v>0</v>
      </c>
      <c r="U29" s="6">
        <f t="shared" si="1"/>
        <v>78211.5</v>
      </c>
    </row>
    <row r="30" spans="1:21" s="7" customFormat="1" ht="49.5" hidden="1" customHeight="1" outlineLevel="1" x14ac:dyDescent="0.2">
      <c r="A30" s="75"/>
      <c r="B30" s="13"/>
      <c r="C30" s="198" t="s">
        <v>24</v>
      </c>
      <c r="D30" s="95" t="s">
        <v>25</v>
      </c>
      <c r="E30" s="18"/>
      <c r="F30" s="24" t="s">
        <v>11</v>
      </c>
      <c r="G30" s="6">
        <v>2000</v>
      </c>
      <c r="H30" s="6">
        <v>2000</v>
      </c>
      <c r="I30" s="6">
        <v>3250</v>
      </c>
      <c r="J30" s="6">
        <v>4600</v>
      </c>
      <c r="K30" s="6">
        <v>4000</v>
      </c>
      <c r="L30" s="6">
        <f>0+397.7</f>
        <v>397.7</v>
      </c>
      <c r="M30" s="6">
        <v>0</v>
      </c>
      <c r="N30" s="6">
        <f t="shared" si="0"/>
        <v>16247.7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f t="shared" si="1"/>
        <v>16247.7</v>
      </c>
    </row>
    <row r="31" spans="1:21" s="7" customFormat="1" ht="47.25" hidden="1" customHeight="1" outlineLevel="1" x14ac:dyDescent="0.2">
      <c r="A31" s="8"/>
      <c r="B31" s="11"/>
      <c r="C31" s="198" t="s">
        <v>26</v>
      </c>
      <c r="D31" s="95" t="s">
        <v>25</v>
      </c>
      <c r="E31" s="10"/>
      <c r="F31" s="24" t="s">
        <v>11</v>
      </c>
      <c r="G31" s="9">
        <v>100</v>
      </c>
      <c r="H31" s="6">
        <v>2000</v>
      </c>
      <c r="I31" s="6">
        <v>3100</v>
      </c>
      <c r="J31" s="6">
        <v>12000</v>
      </c>
      <c r="K31" s="6">
        <v>14573.5</v>
      </c>
      <c r="L31" s="6">
        <f>1017.3</f>
        <v>1017.3</v>
      </c>
      <c r="M31" s="6">
        <v>0</v>
      </c>
      <c r="N31" s="6">
        <f t="shared" si="0"/>
        <v>32790.800000000003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f t="shared" si="1"/>
        <v>32790.800000000003</v>
      </c>
    </row>
    <row r="32" spans="1:21" s="7" customFormat="1" ht="45" hidden="1" customHeight="1" outlineLevel="1" x14ac:dyDescent="0.2">
      <c r="A32" s="8"/>
      <c r="B32" s="11"/>
      <c r="C32" s="198" t="s">
        <v>27</v>
      </c>
      <c r="D32" s="95" t="s">
        <v>25</v>
      </c>
      <c r="E32" s="10"/>
      <c r="F32" s="24" t="s">
        <v>11</v>
      </c>
      <c r="G32" s="6">
        <v>1500</v>
      </c>
      <c r="H32" s="6">
        <v>1680</v>
      </c>
      <c r="I32" s="6">
        <v>1800</v>
      </c>
      <c r="J32" s="6">
        <v>3450</v>
      </c>
      <c r="K32" s="6">
        <v>3000</v>
      </c>
      <c r="L32" s="6">
        <f>0+1500+815.9</f>
        <v>2315.9</v>
      </c>
      <c r="M32" s="6">
        <v>0</v>
      </c>
      <c r="N32" s="6">
        <f t="shared" si="0"/>
        <v>13745.9</v>
      </c>
      <c r="O32" s="6">
        <f>2850.5</f>
        <v>2850.5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f t="shared" si="1"/>
        <v>16596.400000000001</v>
      </c>
    </row>
    <row r="33" spans="1:21" s="7" customFormat="1" ht="66.75" hidden="1" customHeight="1" outlineLevel="1" collapsed="1" x14ac:dyDescent="0.2">
      <c r="A33" s="8"/>
      <c r="B33" s="11"/>
      <c r="C33" s="198" t="s">
        <v>219</v>
      </c>
      <c r="D33" s="95" t="s">
        <v>209</v>
      </c>
      <c r="E33" s="10"/>
      <c r="F33" s="24" t="s">
        <v>11</v>
      </c>
      <c r="G33" s="9">
        <v>0</v>
      </c>
      <c r="H33" s="6">
        <f>5650</f>
        <v>5650</v>
      </c>
      <c r="I33" s="6">
        <v>6800</v>
      </c>
      <c r="J33" s="6">
        <v>8000</v>
      </c>
      <c r="K33" s="6">
        <v>9500</v>
      </c>
      <c r="L33" s="6">
        <v>3500</v>
      </c>
      <c r="M33" s="6">
        <v>3850</v>
      </c>
      <c r="N33" s="6">
        <f t="shared" si="0"/>
        <v>37300</v>
      </c>
      <c r="O33" s="6">
        <f>4235-4235</f>
        <v>0</v>
      </c>
      <c r="P33" s="6">
        <v>0</v>
      </c>
      <c r="Q33" s="6">
        <f>7300-7300</f>
        <v>0</v>
      </c>
      <c r="R33" s="6">
        <f>8000-8000</f>
        <v>0</v>
      </c>
      <c r="S33" s="6">
        <f>8800-8800</f>
        <v>0</v>
      </c>
      <c r="T33" s="6">
        <f>10000-10000</f>
        <v>0</v>
      </c>
      <c r="U33" s="6">
        <f t="shared" si="1"/>
        <v>37300</v>
      </c>
    </row>
    <row r="34" spans="1:21" s="7" customFormat="1" ht="72" hidden="1" customHeight="1" outlineLevel="1" x14ac:dyDescent="0.2">
      <c r="A34" s="10"/>
      <c r="B34" s="11"/>
      <c r="C34" s="198" t="s">
        <v>210</v>
      </c>
      <c r="D34" s="96" t="s">
        <v>25</v>
      </c>
      <c r="E34" s="10"/>
      <c r="F34" s="24" t="s">
        <v>11</v>
      </c>
      <c r="G34" s="9">
        <v>0</v>
      </c>
      <c r="H34" s="6">
        <v>9116.2999999999993</v>
      </c>
      <c r="I34" s="9">
        <v>0</v>
      </c>
      <c r="J34" s="9">
        <v>200</v>
      </c>
      <c r="K34" s="9">
        <v>14000</v>
      </c>
      <c r="L34" s="9">
        <v>9713.6</v>
      </c>
      <c r="M34" s="9">
        <v>0</v>
      </c>
      <c r="N34" s="6">
        <f t="shared" si="0"/>
        <v>33029.9</v>
      </c>
      <c r="O34" s="9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f t="shared" si="1"/>
        <v>33029.9</v>
      </c>
    </row>
    <row r="35" spans="1:21" s="7" customFormat="1" ht="66" hidden="1" customHeight="1" outlineLevel="1" collapsed="1" x14ac:dyDescent="0.2">
      <c r="A35" s="10"/>
      <c r="B35" s="12"/>
      <c r="C35" s="198" t="s">
        <v>266</v>
      </c>
      <c r="D35" s="95" t="s">
        <v>209</v>
      </c>
      <c r="E35" s="10"/>
      <c r="F35" s="24" t="s">
        <v>11</v>
      </c>
      <c r="G35" s="9">
        <v>0</v>
      </c>
      <c r="H35" s="9">
        <v>0</v>
      </c>
      <c r="I35" s="6">
        <v>10000</v>
      </c>
      <c r="J35" s="9">
        <v>0</v>
      </c>
      <c r="K35" s="9">
        <v>0</v>
      </c>
      <c r="L35" s="9">
        <v>16000</v>
      </c>
      <c r="M35" s="9">
        <v>0</v>
      </c>
      <c r="N35" s="6">
        <f t="shared" si="0"/>
        <v>26000</v>
      </c>
      <c r="O35" s="9">
        <v>0</v>
      </c>
      <c r="P35" s="9">
        <v>0</v>
      </c>
      <c r="Q35" s="9">
        <f>40000-40000</f>
        <v>0</v>
      </c>
      <c r="R35" s="9">
        <v>0</v>
      </c>
      <c r="S35" s="9">
        <v>0</v>
      </c>
      <c r="T35" s="9">
        <v>0</v>
      </c>
      <c r="U35" s="6">
        <f t="shared" si="1"/>
        <v>26000</v>
      </c>
    </row>
    <row r="36" spans="1:21" s="7" customFormat="1" ht="71.25" hidden="1" customHeight="1" outlineLevel="1" x14ac:dyDescent="0.2">
      <c r="A36" s="10"/>
      <c r="B36" s="12"/>
      <c r="C36" s="198" t="s">
        <v>28</v>
      </c>
      <c r="D36" s="95" t="s">
        <v>25</v>
      </c>
      <c r="E36" s="10"/>
      <c r="F36" s="24" t="s">
        <v>11</v>
      </c>
      <c r="G36" s="9">
        <v>0</v>
      </c>
      <c r="H36" s="9">
        <v>0</v>
      </c>
      <c r="I36" s="9">
        <v>0</v>
      </c>
      <c r="J36" s="9">
        <v>2425</v>
      </c>
      <c r="K36" s="9">
        <v>1275</v>
      </c>
      <c r="L36" s="9">
        <v>286.39999999999998</v>
      </c>
      <c r="M36" s="9">
        <v>0</v>
      </c>
      <c r="N36" s="6">
        <f t="shared" si="0"/>
        <v>3986.4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3986.4</v>
      </c>
    </row>
    <row r="37" spans="1:21" s="7" customFormat="1" ht="69" hidden="1" customHeight="1" outlineLevel="1" collapsed="1" x14ac:dyDescent="0.2">
      <c r="A37" s="8"/>
      <c r="B37" s="11"/>
      <c r="C37" s="199" t="s">
        <v>272</v>
      </c>
      <c r="D37" s="96" t="s">
        <v>209</v>
      </c>
      <c r="E37" s="10"/>
      <c r="F37" s="24" t="s">
        <v>11</v>
      </c>
      <c r="G37" s="9">
        <v>0</v>
      </c>
      <c r="H37" s="9">
        <v>0</v>
      </c>
      <c r="I37" s="6">
        <v>10000</v>
      </c>
      <c r="J37" s="9">
        <v>0</v>
      </c>
      <c r="K37" s="9">
        <v>0</v>
      </c>
      <c r="L37" s="9">
        <v>0</v>
      </c>
      <c r="M37" s="9">
        <f>16000-16000</f>
        <v>0</v>
      </c>
      <c r="N37" s="6">
        <f t="shared" si="0"/>
        <v>10000</v>
      </c>
      <c r="O37" s="9">
        <v>0</v>
      </c>
      <c r="P37" s="9">
        <v>0</v>
      </c>
      <c r="Q37" s="9">
        <v>0</v>
      </c>
      <c r="R37" s="9">
        <f>50000-50000</f>
        <v>0</v>
      </c>
      <c r="S37" s="9">
        <v>0</v>
      </c>
      <c r="T37" s="9">
        <v>0</v>
      </c>
      <c r="U37" s="6">
        <f t="shared" si="1"/>
        <v>10000</v>
      </c>
    </row>
    <row r="38" spans="1:21" s="7" customFormat="1" ht="68.25" hidden="1" customHeight="1" outlineLevel="1" x14ac:dyDescent="0.2">
      <c r="A38" s="8"/>
      <c r="B38" s="11"/>
      <c r="C38" s="151" t="s">
        <v>267</v>
      </c>
      <c r="D38" s="93" t="s">
        <v>209</v>
      </c>
      <c r="E38" s="10"/>
      <c r="F38" s="24" t="s">
        <v>11</v>
      </c>
      <c r="G38" s="9">
        <v>0</v>
      </c>
      <c r="H38" s="9">
        <v>0</v>
      </c>
      <c r="I38" s="9">
        <v>0</v>
      </c>
      <c r="J38" s="6">
        <v>8000</v>
      </c>
      <c r="K38" s="9">
        <v>0</v>
      </c>
      <c r="L38" s="9">
        <v>0</v>
      </c>
      <c r="M38" s="9">
        <v>4000</v>
      </c>
      <c r="N38" s="6">
        <f t="shared" si="0"/>
        <v>12000</v>
      </c>
      <c r="O38" s="9">
        <f>18000-18000</f>
        <v>0</v>
      </c>
      <c r="P38" s="9">
        <v>0</v>
      </c>
      <c r="Q38" s="9">
        <v>0</v>
      </c>
      <c r="R38" s="9">
        <v>0</v>
      </c>
      <c r="S38" s="9">
        <v>0</v>
      </c>
      <c r="T38" s="9">
        <f>80000-80000</f>
        <v>0</v>
      </c>
      <c r="U38" s="6">
        <f t="shared" si="1"/>
        <v>12000</v>
      </c>
    </row>
    <row r="39" spans="1:21" s="7" customFormat="1" ht="83.25" hidden="1" customHeight="1" outlineLevel="1" x14ac:dyDescent="0.2">
      <c r="A39" s="10"/>
      <c r="B39" s="11"/>
      <c r="C39" s="111" t="s">
        <v>29</v>
      </c>
      <c r="D39" s="96" t="s">
        <v>25</v>
      </c>
      <c r="E39" s="10"/>
      <c r="F39" s="24" t="s">
        <v>11</v>
      </c>
      <c r="G39" s="9">
        <v>0</v>
      </c>
      <c r="H39" s="9">
        <v>0</v>
      </c>
      <c r="I39" s="9">
        <v>0</v>
      </c>
      <c r="J39" s="9">
        <v>0</v>
      </c>
      <c r="K39" s="6">
        <v>10000</v>
      </c>
      <c r="L39" s="6">
        <v>0</v>
      </c>
      <c r="M39" s="6">
        <v>0</v>
      </c>
      <c r="N39" s="6">
        <f t="shared" si="0"/>
        <v>10000</v>
      </c>
      <c r="O39" s="6">
        <v>16000</v>
      </c>
      <c r="P39" s="6">
        <v>0</v>
      </c>
      <c r="Q39" s="6">
        <v>0</v>
      </c>
      <c r="R39" s="6">
        <v>0</v>
      </c>
      <c r="S39" s="6">
        <f>60000-60000</f>
        <v>0</v>
      </c>
      <c r="T39" s="6">
        <v>0</v>
      </c>
      <c r="U39" s="6">
        <f t="shared" si="1"/>
        <v>26000</v>
      </c>
    </row>
    <row r="40" spans="1:21" s="7" customFormat="1" ht="69.75" hidden="1" customHeight="1" outlineLevel="1" x14ac:dyDescent="0.2">
      <c r="A40" s="70"/>
      <c r="B40" s="82"/>
      <c r="C40" s="109" t="s">
        <v>30</v>
      </c>
      <c r="D40" s="98" t="s">
        <v>209</v>
      </c>
      <c r="E40" s="18"/>
      <c r="F40" s="24" t="s">
        <v>11</v>
      </c>
      <c r="G40" s="9">
        <v>0</v>
      </c>
      <c r="H40" s="6">
        <f>5000-830</f>
        <v>4170</v>
      </c>
      <c r="I40" s="6">
        <v>2000</v>
      </c>
      <c r="J40" s="6">
        <v>2500</v>
      </c>
      <c r="K40" s="6">
        <v>0</v>
      </c>
      <c r="L40" s="6">
        <v>3500</v>
      </c>
      <c r="M40" s="6">
        <v>2000</v>
      </c>
      <c r="N40" s="6">
        <f t="shared" si="0"/>
        <v>14170</v>
      </c>
      <c r="O40" s="6">
        <f>2000-2000</f>
        <v>0</v>
      </c>
      <c r="P40" s="6">
        <v>0</v>
      </c>
      <c r="Q40" s="6">
        <v>0</v>
      </c>
      <c r="R40" s="6">
        <f>5000-5000</f>
        <v>0</v>
      </c>
      <c r="S40" s="6">
        <f>5000-5000</f>
        <v>0</v>
      </c>
      <c r="T40" s="6">
        <f>5000-5000</f>
        <v>0</v>
      </c>
      <c r="U40" s="6">
        <f t="shared" si="1"/>
        <v>14170</v>
      </c>
    </row>
    <row r="41" spans="1:21" s="7" customFormat="1" ht="41.25" hidden="1" customHeight="1" outlineLevel="1" x14ac:dyDescent="0.2">
      <c r="A41" s="240"/>
      <c r="B41" s="26"/>
      <c r="C41" s="112" t="s">
        <v>31</v>
      </c>
      <c r="D41" s="15" t="s">
        <v>25</v>
      </c>
      <c r="E41" s="8"/>
      <c r="F41" s="24" t="s">
        <v>11</v>
      </c>
      <c r="G41" s="6">
        <v>0</v>
      </c>
      <c r="H41" s="9">
        <v>60000</v>
      </c>
      <c r="I41" s="9">
        <v>0</v>
      </c>
      <c r="J41" s="9">
        <v>0</v>
      </c>
      <c r="K41" s="9">
        <v>0</v>
      </c>
      <c r="L41" s="9">
        <f>60000-1000-4500</f>
        <v>54500</v>
      </c>
      <c r="M41" s="9">
        <f>66000</f>
        <v>66000</v>
      </c>
      <c r="N41" s="6">
        <f t="shared" si="0"/>
        <v>180500</v>
      </c>
      <c r="O41" s="9">
        <f>72600-72600</f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6">
        <f t="shared" si="1"/>
        <v>180500</v>
      </c>
    </row>
    <row r="42" spans="1:21" s="7" customFormat="1" ht="40.5" hidden="1" outlineLevel="1" x14ac:dyDescent="0.2">
      <c r="A42" s="240"/>
      <c r="B42" s="26"/>
      <c r="C42" s="113" t="s">
        <v>32</v>
      </c>
      <c r="D42" s="95" t="s">
        <v>14</v>
      </c>
      <c r="E42" s="8"/>
      <c r="F42" s="24" t="s">
        <v>11</v>
      </c>
      <c r="G42" s="6">
        <f>30893.1-20000</f>
        <v>10893.099999999999</v>
      </c>
      <c r="H42" s="9">
        <v>0</v>
      </c>
      <c r="I42" s="9">
        <v>33783</v>
      </c>
      <c r="J42" s="9">
        <v>44021.8</v>
      </c>
      <c r="K42" s="9">
        <v>61825.56</v>
      </c>
      <c r="L42" s="9">
        <v>0</v>
      </c>
      <c r="M42" s="9">
        <v>0</v>
      </c>
      <c r="N42" s="6">
        <f t="shared" si="0"/>
        <v>150523.46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6">
        <f t="shared" si="1"/>
        <v>150523.46</v>
      </c>
    </row>
    <row r="43" spans="1:21" s="7" customFormat="1" ht="57" hidden="1" customHeight="1" outlineLevel="1" x14ac:dyDescent="0.2">
      <c r="A43" s="129"/>
      <c r="B43" s="82"/>
      <c r="C43" s="111" t="s">
        <v>33</v>
      </c>
      <c r="D43" s="96" t="s">
        <v>14</v>
      </c>
      <c r="E43" s="75"/>
      <c r="F43" s="24" t="s">
        <v>11</v>
      </c>
      <c r="G43" s="6">
        <v>0</v>
      </c>
      <c r="H43" s="9">
        <v>0</v>
      </c>
      <c r="I43" s="9">
        <v>3000</v>
      </c>
      <c r="J43" s="9">
        <v>2597.8000000000002</v>
      </c>
      <c r="K43" s="9">
        <v>1300</v>
      </c>
      <c r="L43" s="9">
        <v>0</v>
      </c>
      <c r="M43" s="9">
        <v>0</v>
      </c>
      <c r="N43" s="6">
        <f t="shared" si="0"/>
        <v>6897.8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6">
        <f t="shared" si="1"/>
        <v>6897.8</v>
      </c>
    </row>
    <row r="44" spans="1:21" s="7" customFormat="1" ht="38.25" hidden="1" customHeight="1" outlineLevel="1" collapsed="1" x14ac:dyDescent="0.2">
      <c r="A44" s="101"/>
      <c r="B44" s="438"/>
      <c r="C44" s="109" t="s">
        <v>34</v>
      </c>
      <c r="D44" s="141" t="s">
        <v>254</v>
      </c>
      <c r="E44" s="425"/>
      <c r="F44" s="220" t="s">
        <v>11</v>
      </c>
      <c r="G44" s="106">
        <f t="shared" ref="G44:T44" si="2">SUM(G46:G59)</f>
        <v>0</v>
      </c>
      <c r="H44" s="6">
        <f t="shared" si="2"/>
        <v>0</v>
      </c>
      <c r="I44" s="6">
        <f t="shared" si="2"/>
        <v>0</v>
      </c>
      <c r="J44" s="6">
        <f t="shared" si="2"/>
        <v>2300</v>
      </c>
      <c r="K44" s="6">
        <f t="shared" si="2"/>
        <v>0</v>
      </c>
      <c r="L44" s="6">
        <f t="shared" si="2"/>
        <v>15850</v>
      </c>
      <c r="M44" s="6">
        <f t="shared" si="2"/>
        <v>9150</v>
      </c>
      <c r="N44" s="6">
        <f t="shared" si="0"/>
        <v>27300</v>
      </c>
      <c r="O44" s="6">
        <f t="shared" si="2"/>
        <v>19500</v>
      </c>
      <c r="P44" s="6">
        <f t="shared" si="2"/>
        <v>26600</v>
      </c>
      <c r="Q44" s="6">
        <f t="shared" si="2"/>
        <v>0</v>
      </c>
      <c r="R44" s="6">
        <f t="shared" si="2"/>
        <v>0</v>
      </c>
      <c r="S44" s="6">
        <f t="shared" si="2"/>
        <v>0</v>
      </c>
      <c r="T44" s="6">
        <f t="shared" si="2"/>
        <v>0</v>
      </c>
      <c r="U44" s="6">
        <f t="shared" si="1"/>
        <v>73400</v>
      </c>
    </row>
    <row r="45" spans="1:21" s="7" customFormat="1" ht="15.75" hidden="1" customHeight="1" outlineLevel="1" x14ac:dyDescent="0.2">
      <c r="A45" s="8"/>
      <c r="B45" s="439"/>
      <c r="C45" s="109" t="s">
        <v>35</v>
      </c>
      <c r="D45" s="104"/>
      <c r="E45" s="426"/>
      <c r="F45" s="10"/>
      <c r="G45" s="106"/>
      <c r="H45" s="9"/>
      <c r="I45" s="9"/>
      <c r="J45" s="9"/>
      <c r="K45" s="9"/>
      <c r="L45" s="9"/>
      <c r="M45" s="9"/>
      <c r="N45" s="6"/>
      <c r="O45" s="9"/>
      <c r="P45" s="9"/>
      <c r="Q45" s="9"/>
      <c r="R45" s="9"/>
      <c r="S45" s="9"/>
      <c r="T45" s="9"/>
      <c r="U45" s="6"/>
    </row>
    <row r="46" spans="1:21" s="7" customFormat="1" ht="29.25" hidden="1" customHeight="1" outlineLevel="1" x14ac:dyDescent="0.2">
      <c r="A46" s="8"/>
      <c r="B46" s="439"/>
      <c r="C46" s="109" t="s">
        <v>36</v>
      </c>
      <c r="D46" s="104"/>
      <c r="E46" s="426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3500</v>
      </c>
      <c r="M46" s="17">
        <f>900-350-350</f>
        <v>200</v>
      </c>
      <c r="N46" s="6">
        <f t="shared" si="0"/>
        <v>3700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3700</v>
      </c>
    </row>
    <row r="47" spans="1:21" s="7" customFormat="1" ht="19.5" hidden="1" customHeight="1" outlineLevel="1" x14ac:dyDescent="0.2">
      <c r="A47" s="8"/>
      <c r="B47" s="439"/>
      <c r="C47" s="109" t="s">
        <v>37</v>
      </c>
      <c r="D47" s="104"/>
      <c r="E47" s="426"/>
      <c r="F47" s="10"/>
      <c r="G47" s="105">
        <v>0</v>
      </c>
      <c r="H47" s="16">
        <v>0</v>
      </c>
      <c r="I47" s="16">
        <v>0</v>
      </c>
      <c r="J47" s="16">
        <v>2300</v>
      </c>
      <c r="K47" s="16">
        <v>0</v>
      </c>
      <c r="L47" s="17">
        <f>5100-450</f>
        <v>4650</v>
      </c>
      <c r="M47" s="17">
        <v>2800</v>
      </c>
      <c r="N47" s="6">
        <f t="shared" si="0"/>
        <v>9750</v>
      </c>
      <c r="O47" s="17">
        <v>0</v>
      </c>
      <c r="P47" s="17">
        <v>5500</v>
      </c>
      <c r="Q47" s="17">
        <f>5200-5200</f>
        <v>0</v>
      </c>
      <c r="R47" s="17">
        <v>0</v>
      </c>
      <c r="S47" s="17">
        <v>0</v>
      </c>
      <c r="T47" s="17">
        <f>5500-5500</f>
        <v>0</v>
      </c>
      <c r="U47" s="6">
        <f t="shared" si="1"/>
        <v>15250</v>
      </c>
    </row>
    <row r="48" spans="1:21" s="7" customFormat="1" ht="18.75" hidden="1" customHeight="1" outlineLevel="1" x14ac:dyDescent="0.2">
      <c r="A48" s="8"/>
      <c r="B48" s="439"/>
      <c r="C48" s="109" t="s">
        <v>38</v>
      </c>
      <c r="D48" s="104"/>
      <c r="E48" s="426"/>
      <c r="F48" s="10"/>
      <c r="G48" s="105">
        <v>0</v>
      </c>
      <c r="H48" s="16">
        <v>0</v>
      </c>
      <c r="I48" s="16">
        <v>0</v>
      </c>
      <c r="J48" s="16">
        <v>0</v>
      </c>
      <c r="K48" s="16">
        <v>0</v>
      </c>
      <c r="L48" s="17">
        <f>4000+375</f>
        <v>4375</v>
      </c>
      <c r="M48" s="17">
        <v>4300</v>
      </c>
      <c r="N48" s="6">
        <f t="shared" si="0"/>
        <v>8675</v>
      </c>
      <c r="O48" s="17">
        <f>4500+1600</f>
        <v>6100</v>
      </c>
      <c r="P48" s="17">
        <f>7000+500-1260</f>
        <v>6240</v>
      </c>
      <c r="Q48" s="17">
        <f>6500-6500</f>
        <v>0</v>
      </c>
      <c r="R48" s="17">
        <v>0</v>
      </c>
      <c r="S48" s="17">
        <v>0</v>
      </c>
      <c r="T48" s="17">
        <v>0</v>
      </c>
      <c r="U48" s="6">
        <f t="shared" si="1"/>
        <v>21015</v>
      </c>
    </row>
    <row r="49" spans="1:21" s="7" customFormat="1" ht="18" hidden="1" customHeight="1" outlineLevel="1" x14ac:dyDescent="0.2">
      <c r="A49" s="8"/>
      <c r="B49" s="439"/>
      <c r="C49" s="109" t="s">
        <v>39</v>
      </c>
      <c r="D49" s="104"/>
      <c r="E49" s="426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7">
        <f>850+350</f>
        <v>1200</v>
      </c>
      <c r="N49" s="6">
        <f t="shared" si="0"/>
        <v>1200</v>
      </c>
      <c r="O49" s="17">
        <f>735-735</f>
        <v>0</v>
      </c>
      <c r="P49" s="17">
        <f>1713.6</f>
        <v>1713.6</v>
      </c>
      <c r="Q49" s="17">
        <f>1200-1200</f>
        <v>0</v>
      </c>
      <c r="R49" s="17">
        <f>1300-1300</f>
        <v>0</v>
      </c>
      <c r="S49" s="17">
        <v>0</v>
      </c>
      <c r="T49" s="17">
        <v>0</v>
      </c>
      <c r="U49" s="6">
        <f t="shared" si="1"/>
        <v>2913.6000000000004</v>
      </c>
    </row>
    <row r="50" spans="1:21" s="7" customFormat="1" ht="18" hidden="1" customHeight="1" outlineLevel="1" x14ac:dyDescent="0.2">
      <c r="A50" s="8"/>
      <c r="B50" s="439"/>
      <c r="C50" s="109" t="s">
        <v>40</v>
      </c>
      <c r="D50" s="104"/>
      <c r="E50" s="426"/>
      <c r="F50" s="10"/>
      <c r="G50" s="105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7">
        <f>300+350</f>
        <v>650</v>
      </c>
      <c r="N50" s="6">
        <f t="shared" si="0"/>
        <v>650</v>
      </c>
      <c r="O50" s="17">
        <v>0</v>
      </c>
      <c r="P50" s="17">
        <v>0</v>
      </c>
      <c r="Q50" s="17">
        <f>250-250</f>
        <v>0</v>
      </c>
      <c r="R50" s="17">
        <f>300-300</f>
        <v>0</v>
      </c>
      <c r="S50" s="17">
        <v>0</v>
      </c>
      <c r="T50" s="17">
        <v>0</v>
      </c>
      <c r="U50" s="6">
        <f t="shared" si="1"/>
        <v>650</v>
      </c>
    </row>
    <row r="51" spans="1:21" s="7" customFormat="1" ht="17.25" hidden="1" customHeight="1" outlineLevel="1" x14ac:dyDescent="0.2">
      <c r="A51" s="8"/>
      <c r="B51" s="439"/>
      <c r="C51" s="109" t="s">
        <v>41</v>
      </c>
      <c r="D51" s="104"/>
      <c r="E51" s="10"/>
      <c r="F51" s="10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2875</v>
      </c>
      <c r="M51" s="17">
        <v>0</v>
      </c>
      <c r="N51" s="6">
        <f t="shared" si="0"/>
        <v>2875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6">
        <f t="shared" si="1"/>
        <v>2875</v>
      </c>
    </row>
    <row r="52" spans="1:21" s="7" customFormat="1" ht="21" hidden="1" customHeight="1" outlineLevel="1" x14ac:dyDescent="0.2">
      <c r="A52" s="8"/>
      <c r="B52" s="11"/>
      <c r="C52" s="109" t="s">
        <v>42</v>
      </c>
      <c r="D52" s="104"/>
      <c r="E52" s="10"/>
      <c r="F52" s="10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7">
        <v>450</v>
      </c>
      <c r="M52" s="16">
        <v>0</v>
      </c>
      <c r="N52" s="6">
        <f t="shared" si="0"/>
        <v>450</v>
      </c>
      <c r="O52" s="16">
        <v>0</v>
      </c>
      <c r="P52" s="16">
        <v>0</v>
      </c>
      <c r="Q52" s="16">
        <f>300-300</f>
        <v>0</v>
      </c>
      <c r="R52" s="16">
        <f>300-300</f>
        <v>0</v>
      </c>
      <c r="S52" s="16">
        <f>300-300</f>
        <v>0</v>
      </c>
      <c r="T52" s="16">
        <v>0</v>
      </c>
      <c r="U52" s="6">
        <f t="shared" si="1"/>
        <v>450</v>
      </c>
    </row>
    <row r="53" spans="1:21" s="7" customFormat="1" ht="30" hidden="1" customHeight="1" outlineLevel="1" x14ac:dyDescent="0.2">
      <c r="A53" s="8"/>
      <c r="B53" s="11"/>
      <c r="C53" s="110" t="s">
        <v>263</v>
      </c>
      <c r="D53" s="23"/>
      <c r="E53" s="10"/>
      <c r="F53" s="10"/>
      <c r="G53" s="107">
        <v>0</v>
      </c>
      <c r="H53" s="20">
        <v>0</v>
      </c>
      <c r="I53" s="20">
        <v>0</v>
      </c>
      <c r="J53" s="20">
        <v>0</v>
      </c>
      <c r="K53" s="20">
        <v>0</v>
      </c>
      <c r="L53" s="21">
        <v>0</v>
      </c>
      <c r="M53" s="20">
        <v>0</v>
      </c>
      <c r="N53" s="6">
        <f t="shared" si="0"/>
        <v>0</v>
      </c>
      <c r="O53" s="20">
        <v>6000</v>
      </c>
      <c r="P53" s="20">
        <f>7500-453.6</f>
        <v>7046.4</v>
      </c>
      <c r="Q53" s="20">
        <v>0</v>
      </c>
      <c r="R53" s="20">
        <v>0</v>
      </c>
      <c r="S53" s="20">
        <v>0</v>
      </c>
      <c r="T53" s="20">
        <v>0</v>
      </c>
      <c r="U53" s="6">
        <f t="shared" si="1"/>
        <v>13046.4</v>
      </c>
    </row>
    <row r="54" spans="1:21" s="7" customFormat="1" ht="28.5" hidden="1" customHeight="1" outlineLevel="1" x14ac:dyDescent="0.2">
      <c r="A54" s="8"/>
      <c r="B54" s="11"/>
      <c r="C54" s="109" t="s">
        <v>43</v>
      </c>
      <c r="D54" s="23"/>
      <c r="E54" s="10"/>
      <c r="F54" s="10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7">
        <v>0</v>
      </c>
      <c r="M54" s="16">
        <v>0</v>
      </c>
      <c r="N54" s="6">
        <f t="shared" si="0"/>
        <v>0</v>
      </c>
      <c r="O54" s="16">
        <v>5200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5200</v>
      </c>
    </row>
    <row r="55" spans="1:21" s="7" customFormat="1" ht="23.25" hidden="1" customHeight="1" outlineLevel="1" x14ac:dyDescent="0.2">
      <c r="A55" s="8"/>
      <c r="B55" s="11"/>
      <c r="C55" s="109" t="s">
        <v>44</v>
      </c>
      <c r="D55" s="23"/>
      <c r="E55" s="10"/>
      <c r="F55" s="10"/>
      <c r="G55" s="105">
        <v>0</v>
      </c>
      <c r="H55" s="16">
        <v>0</v>
      </c>
      <c r="I55" s="16">
        <v>0</v>
      </c>
      <c r="J55" s="16">
        <v>0</v>
      </c>
      <c r="K55" s="16">
        <v>0</v>
      </c>
      <c r="L55" s="17">
        <v>0</v>
      </c>
      <c r="M55" s="16">
        <v>0</v>
      </c>
      <c r="N55" s="6">
        <f t="shared" si="0"/>
        <v>0</v>
      </c>
      <c r="O55" s="16">
        <v>2200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6">
        <f t="shared" si="1"/>
        <v>2200</v>
      </c>
    </row>
    <row r="56" spans="1:21" s="7" customFormat="1" ht="21.75" hidden="1" customHeight="1" outlineLevel="1" x14ac:dyDescent="0.2">
      <c r="A56" s="8"/>
      <c r="B56" s="11"/>
      <c r="C56" s="110" t="s">
        <v>45</v>
      </c>
      <c r="D56" s="23"/>
      <c r="E56" s="10"/>
      <c r="F56" s="19"/>
      <c r="G56" s="105">
        <v>0</v>
      </c>
      <c r="H56" s="16">
        <v>0</v>
      </c>
      <c r="I56" s="16">
        <v>0</v>
      </c>
      <c r="J56" s="16">
        <v>0</v>
      </c>
      <c r="K56" s="16">
        <v>0</v>
      </c>
      <c r="L56" s="17">
        <v>0</v>
      </c>
      <c r="M56" s="16">
        <v>0</v>
      </c>
      <c r="N56" s="6">
        <f t="shared" si="0"/>
        <v>0</v>
      </c>
      <c r="O56" s="16">
        <v>0</v>
      </c>
      <c r="P56" s="16">
        <v>0</v>
      </c>
      <c r="Q56" s="16">
        <f>1000-1000</f>
        <v>0</v>
      </c>
      <c r="R56" s="16">
        <v>0</v>
      </c>
      <c r="S56" s="16">
        <v>0</v>
      </c>
      <c r="T56" s="16">
        <v>0</v>
      </c>
      <c r="U56" s="6">
        <f t="shared" si="1"/>
        <v>0</v>
      </c>
    </row>
    <row r="57" spans="1:21" s="7" customFormat="1" ht="21.75" hidden="1" customHeight="1" outlineLevel="1" x14ac:dyDescent="0.2">
      <c r="A57" s="8"/>
      <c r="B57" s="11"/>
      <c r="C57" s="110" t="s">
        <v>46</v>
      </c>
      <c r="D57" s="23"/>
      <c r="E57" s="10"/>
      <c r="F57" s="19"/>
      <c r="G57" s="105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6">
        <f t="shared" si="0"/>
        <v>0</v>
      </c>
      <c r="O57" s="16">
        <v>0</v>
      </c>
      <c r="P57" s="16">
        <v>0</v>
      </c>
      <c r="Q57" s="16">
        <v>0</v>
      </c>
      <c r="R57" s="16">
        <f>7000-7000</f>
        <v>0</v>
      </c>
      <c r="S57" s="16">
        <v>0</v>
      </c>
      <c r="T57" s="16">
        <v>0</v>
      </c>
      <c r="U57" s="6">
        <f t="shared" si="1"/>
        <v>0</v>
      </c>
    </row>
    <row r="58" spans="1:21" s="7" customFormat="1" ht="21.75" hidden="1" customHeight="1" outlineLevel="1" x14ac:dyDescent="0.2">
      <c r="A58" s="8"/>
      <c r="B58" s="11"/>
      <c r="C58" s="110" t="s">
        <v>47</v>
      </c>
      <c r="D58" s="23"/>
      <c r="E58" s="10"/>
      <c r="F58" s="19"/>
      <c r="G58" s="105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6">
        <f t="shared" si="0"/>
        <v>0</v>
      </c>
      <c r="O58" s="16">
        <v>0</v>
      </c>
      <c r="P58" s="16">
        <v>0</v>
      </c>
      <c r="Q58" s="16">
        <f>4800-4800</f>
        <v>0</v>
      </c>
      <c r="R58" s="16">
        <v>0</v>
      </c>
      <c r="S58" s="16">
        <f>5000-5000</f>
        <v>0</v>
      </c>
      <c r="T58" s="16">
        <v>0</v>
      </c>
      <c r="U58" s="6">
        <f t="shared" si="1"/>
        <v>0</v>
      </c>
    </row>
    <row r="59" spans="1:21" s="7" customFormat="1" ht="24.75" hidden="1" customHeight="1" outlineLevel="1" x14ac:dyDescent="0.2">
      <c r="A59" s="8"/>
      <c r="B59" s="11"/>
      <c r="C59" s="110" t="s">
        <v>48</v>
      </c>
      <c r="D59" s="136"/>
      <c r="E59" s="10"/>
      <c r="F59" s="108"/>
      <c r="G59" s="105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6">
        <f t="shared" si="0"/>
        <v>0</v>
      </c>
      <c r="O59" s="16">
        <v>0</v>
      </c>
      <c r="P59" s="16">
        <v>6100</v>
      </c>
      <c r="Q59" s="16">
        <v>0</v>
      </c>
      <c r="R59" s="16">
        <v>0</v>
      </c>
      <c r="S59" s="16">
        <v>0</v>
      </c>
      <c r="T59" s="16">
        <v>0</v>
      </c>
      <c r="U59" s="6">
        <f t="shared" si="1"/>
        <v>6100</v>
      </c>
    </row>
    <row r="60" spans="1:21" s="7" customFormat="1" ht="48.75" hidden="1" customHeight="1" outlineLevel="1" x14ac:dyDescent="0.2">
      <c r="A60" s="8"/>
      <c r="B60" s="11"/>
      <c r="C60" s="138" t="s">
        <v>49</v>
      </c>
      <c r="D60" s="142" t="s">
        <v>50</v>
      </c>
      <c r="E60" s="10"/>
      <c r="F60" s="24" t="s">
        <v>11</v>
      </c>
      <c r="G60" s="6">
        <v>0</v>
      </c>
      <c r="H60" s="6">
        <v>0</v>
      </c>
      <c r="I60" s="6">
        <v>0</v>
      </c>
      <c r="J60" s="6">
        <v>2000</v>
      </c>
      <c r="K60" s="6">
        <v>1760.9</v>
      </c>
      <c r="L60" s="6">
        <f>2000+2100</f>
        <v>4100</v>
      </c>
      <c r="M60" s="6">
        <f>2500+3000+2149.3</f>
        <v>7649.3</v>
      </c>
      <c r="N60" s="6">
        <f t="shared" si="0"/>
        <v>15510.2</v>
      </c>
      <c r="O60" s="6">
        <f>3000+10000+2000+13790</f>
        <v>28790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f t="shared" si="1"/>
        <v>44300.2</v>
      </c>
    </row>
    <row r="61" spans="1:21" s="7" customFormat="1" ht="53.25" hidden="1" customHeight="1" outlineLevel="1" x14ac:dyDescent="0.2">
      <c r="A61" s="8"/>
      <c r="B61" s="11"/>
      <c r="C61" s="139" t="s">
        <v>51</v>
      </c>
      <c r="D61" s="136" t="s">
        <v>50</v>
      </c>
      <c r="E61" s="10"/>
      <c r="F61" s="24" t="s">
        <v>11</v>
      </c>
      <c r="G61" s="6">
        <v>0</v>
      </c>
      <c r="H61" s="6">
        <v>0</v>
      </c>
      <c r="I61" s="6">
        <v>0</v>
      </c>
      <c r="J61" s="6">
        <v>7900</v>
      </c>
      <c r="K61" s="6">
        <v>6611.6</v>
      </c>
      <c r="L61" s="6">
        <v>10000</v>
      </c>
      <c r="M61" s="6">
        <f>14000-2149.3</f>
        <v>11850.7</v>
      </c>
      <c r="N61" s="6">
        <f t="shared" si="0"/>
        <v>36362.300000000003</v>
      </c>
      <c r="O61" s="6">
        <f>20000-10000</f>
        <v>10000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46362.3</v>
      </c>
    </row>
    <row r="62" spans="1:21" s="7" customFormat="1" ht="40.5" hidden="1" customHeight="1" outlineLevel="1" x14ac:dyDescent="0.2">
      <c r="A62" s="8"/>
      <c r="B62" s="11"/>
      <c r="C62" s="138" t="s">
        <v>52</v>
      </c>
      <c r="D62" s="137" t="s">
        <v>50</v>
      </c>
      <c r="E62" s="10"/>
      <c r="F62" s="24" t="s">
        <v>11</v>
      </c>
      <c r="G62" s="6">
        <v>0</v>
      </c>
      <c r="H62" s="6">
        <v>0</v>
      </c>
      <c r="I62" s="6">
        <v>0</v>
      </c>
      <c r="J62" s="6">
        <v>1600</v>
      </c>
      <c r="K62" s="6">
        <v>5500</v>
      </c>
      <c r="L62" s="6">
        <f>7600-3900</f>
        <v>3700</v>
      </c>
      <c r="M62" s="6">
        <f>8360-8360</f>
        <v>0</v>
      </c>
      <c r="N62" s="6">
        <f t="shared" si="0"/>
        <v>10800</v>
      </c>
      <c r="O62" s="6">
        <f>9200-9200</f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10800</v>
      </c>
    </row>
    <row r="63" spans="1:21" s="7" customFormat="1" ht="57.75" hidden="1" customHeight="1" outlineLevel="1" collapsed="1" x14ac:dyDescent="0.2">
      <c r="A63" s="8"/>
      <c r="B63" s="11"/>
      <c r="C63" s="140" t="s">
        <v>53</v>
      </c>
      <c r="D63" s="98" t="s">
        <v>50</v>
      </c>
      <c r="E63" s="10"/>
      <c r="F63" s="24" t="s">
        <v>11</v>
      </c>
      <c r="G63" s="6">
        <v>0</v>
      </c>
      <c r="H63" s="9">
        <v>0</v>
      </c>
      <c r="I63" s="9">
        <v>0</v>
      </c>
      <c r="J63" s="9">
        <v>6000</v>
      </c>
      <c r="K63" s="9">
        <v>13000</v>
      </c>
      <c r="L63" s="9">
        <v>1260</v>
      </c>
      <c r="M63" s="9">
        <v>1385</v>
      </c>
      <c r="N63" s="6">
        <f t="shared" si="0"/>
        <v>21645</v>
      </c>
      <c r="O63" s="9">
        <v>1525</v>
      </c>
      <c r="P63" s="9">
        <v>0</v>
      </c>
      <c r="Q63" s="9">
        <f>1300-1300</f>
        <v>0</v>
      </c>
      <c r="R63" s="9">
        <f>1500-1500</f>
        <v>0</v>
      </c>
      <c r="S63" s="9">
        <f>2000-2000</f>
        <v>0</v>
      </c>
      <c r="T63" s="9">
        <f>2500-2500</f>
        <v>0</v>
      </c>
      <c r="U63" s="6">
        <f t="shared" si="1"/>
        <v>23170</v>
      </c>
    </row>
    <row r="64" spans="1:21" s="7" customFormat="1" ht="54.75" hidden="1" customHeight="1" outlineLevel="1" x14ac:dyDescent="0.2">
      <c r="A64" s="423"/>
      <c r="B64" s="11"/>
      <c r="C64" s="140" t="s">
        <v>54</v>
      </c>
      <c r="D64" s="98" t="s">
        <v>50</v>
      </c>
      <c r="E64" s="10"/>
      <c r="F64" s="24" t="s">
        <v>11</v>
      </c>
      <c r="G64" s="6">
        <v>0</v>
      </c>
      <c r="H64" s="9">
        <v>0</v>
      </c>
      <c r="I64" s="9">
        <v>0</v>
      </c>
      <c r="J64" s="9">
        <v>2500</v>
      </c>
      <c r="K64" s="9">
        <v>7500</v>
      </c>
      <c r="L64" s="9">
        <v>1835.7</v>
      </c>
      <c r="M64" s="9">
        <f>8500</f>
        <v>8500</v>
      </c>
      <c r="N64" s="6">
        <f t="shared" si="0"/>
        <v>20335.7</v>
      </c>
      <c r="O64" s="9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f t="shared" si="1"/>
        <v>20335.7</v>
      </c>
    </row>
    <row r="65" spans="1:21" s="7" customFormat="1" ht="71.25" hidden="1" customHeight="1" outlineLevel="1" collapsed="1" x14ac:dyDescent="0.2">
      <c r="A65" s="424"/>
      <c r="B65" s="11"/>
      <c r="C65" s="140" t="s">
        <v>268</v>
      </c>
      <c r="D65" s="98" t="s">
        <v>259</v>
      </c>
      <c r="E65" s="10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1000</v>
      </c>
      <c r="L65" s="9">
        <v>10000</v>
      </c>
      <c r="M65" s="9">
        <f>10000-8500</f>
        <v>1500</v>
      </c>
      <c r="N65" s="6">
        <f t="shared" si="0"/>
        <v>12500</v>
      </c>
      <c r="O65" s="9">
        <v>0</v>
      </c>
      <c r="P65" s="9">
        <v>0</v>
      </c>
      <c r="Q65" s="9">
        <f>1000-1000</f>
        <v>0</v>
      </c>
      <c r="R65" s="9">
        <v>0</v>
      </c>
      <c r="S65" s="9">
        <v>0</v>
      </c>
      <c r="T65" s="9">
        <v>0</v>
      </c>
      <c r="U65" s="6">
        <f t="shared" si="1"/>
        <v>12500</v>
      </c>
    </row>
    <row r="66" spans="1:21" s="7" customFormat="1" ht="46.5" hidden="1" customHeight="1" outlineLevel="1" x14ac:dyDescent="0.2">
      <c r="A66" s="8"/>
      <c r="B66" s="11"/>
      <c r="C66" s="140" t="s">
        <v>55</v>
      </c>
      <c r="D66" s="98" t="s">
        <v>56</v>
      </c>
      <c r="E66" s="10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7950</v>
      </c>
      <c r="L66" s="9">
        <v>0</v>
      </c>
      <c r="M66" s="9">
        <v>0</v>
      </c>
      <c r="N66" s="6">
        <f t="shared" si="0"/>
        <v>7950</v>
      </c>
      <c r="O66" s="9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f t="shared" si="1"/>
        <v>7950</v>
      </c>
    </row>
    <row r="67" spans="1:21" s="7" customFormat="1" ht="42.75" hidden="1" customHeight="1" outlineLevel="1" x14ac:dyDescent="0.2">
      <c r="A67" s="8"/>
      <c r="B67" s="11"/>
      <c r="C67" s="140" t="s">
        <v>57</v>
      </c>
      <c r="D67" s="98" t="s">
        <v>50</v>
      </c>
      <c r="E67" s="10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1000</v>
      </c>
      <c r="L67" s="9">
        <v>10000</v>
      </c>
      <c r="M67" s="9">
        <f>4000-2250</f>
        <v>1750</v>
      </c>
      <c r="N67" s="6">
        <f t="shared" si="0"/>
        <v>12750</v>
      </c>
      <c r="O67" s="9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f t="shared" si="1"/>
        <v>12750</v>
      </c>
    </row>
    <row r="68" spans="1:21" s="7" customFormat="1" ht="47.25" hidden="1" customHeight="1" outlineLevel="1" x14ac:dyDescent="0.2">
      <c r="A68" s="8"/>
      <c r="B68" s="11"/>
      <c r="C68" s="139" t="s">
        <v>58</v>
      </c>
      <c r="D68" s="99" t="s">
        <v>59</v>
      </c>
      <c r="E68" s="242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2000</v>
      </c>
      <c r="M68" s="9">
        <v>7000</v>
      </c>
      <c r="N68" s="6">
        <f t="shared" si="0"/>
        <v>9000</v>
      </c>
      <c r="O68" s="9">
        <v>10000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f t="shared" si="1"/>
        <v>19000</v>
      </c>
    </row>
    <row r="69" spans="1:21" s="7" customFormat="1" ht="52.5" hidden="1" customHeight="1" outlineLevel="1" collapsed="1" x14ac:dyDescent="0.2">
      <c r="A69" s="8"/>
      <c r="B69" s="11"/>
      <c r="C69" s="110" t="s">
        <v>60</v>
      </c>
      <c r="D69" s="136" t="s">
        <v>260</v>
      </c>
      <c r="E69" s="242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v>2000</v>
      </c>
      <c r="M69" s="9">
        <v>2000</v>
      </c>
      <c r="N69" s="6">
        <f t="shared" si="0"/>
        <v>4000</v>
      </c>
      <c r="O69" s="9">
        <v>0</v>
      </c>
      <c r="P69" s="9">
        <v>0</v>
      </c>
      <c r="Q69" s="9">
        <v>0</v>
      </c>
      <c r="R69" s="9">
        <f>5000-5000</f>
        <v>0</v>
      </c>
      <c r="S69" s="9">
        <v>0</v>
      </c>
      <c r="T69" s="9">
        <v>0</v>
      </c>
      <c r="U69" s="6">
        <f t="shared" si="1"/>
        <v>4000</v>
      </c>
    </row>
    <row r="70" spans="1:21" s="7" customFormat="1" ht="71.25" hidden="1" customHeight="1" outlineLevel="1" x14ac:dyDescent="0.2">
      <c r="A70" s="8"/>
      <c r="B70" s="11"/>
      <c r="C70" s="14" t="s">
        <v>62</v>
      </c>
      <c r="D70" s="142" t="s">
        <v>260</v>
      </c>
      <c r="E70" s="242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2000</v>
      </c>
      <c r="M70" s="9">
        <v>2000</v>
      </c>
      <c r="N70" s="6">
        <f t="shared" si="0"/>
        <v>4000</v>
      </c>
      <c r="O70" s="9">
        <v>0</v>
      </c>
      <c r="P70" s="9">
        <v>0</v>
      </c>
      <c r="Q70" s="9">
        <f>4200-4200</f>
        <v>0</v>
      </c>
      <c r="R70" s="9">
        <v>0</v>
      </c>
      <c r="S70" s="9">
        <v>0</v>
      </c>
      <c r="T70" s="9">
        <v>0</v>
      </c>
      <c r="U70" s="6">
        <f t="shared" si="1"/>
        <v>4000</v>
      </c>
    </row>
    <row r="71" spans="1:21" s="7" customFormat="1" ht="44.25" hidden="1" customHeight="1" outlineLevel="1" x14ac:dyDescent="0.2">
      <c r="A71" s="8"/>
      <c r="B71" s="11"/>
      <c r="C71" s="138" t="s">
        <v>63</v>
      </c>
      <c r="D71" s="137" t="s">
        <v>255</v>
      </c>
      <c r="E71" s="242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500+1000</f>
        <v>1500</v>
      </c>
      <c r="M71" s="9">
        <v>1000</v>
      </c>
      <c r="N71" s="6">
        <f t="shared" si="0"/>
        <v>2500</v>
      </c>
      <c r="O71" s="9">
        <v>1500</v>
      </c>
      <c r="P71" s="9">
        <v>2000</v>
      </c>
      <c r="Q71" s="9">
        <f>3000-3000</f>
        <v>0</v>
      </c>
      <c r="R71" s="9">
        <f>8000-8000</f>
        <v>0</v>
      </c>
      <c r="S71" s="9">
        <f>10000-10000</f>
        <v>0</v>
      </c>
      <c r="T71" s="9">
        <f>10000-10000</f>
        <v>0</v>
      </c>
      <c r="U71" s="6">
        <f t="shared" si="1"/>
        <v>6000</v>
      </c>
    </row>
    <row r="72" spans="1:21" s="7" customFormat="1" ht="45.75" hidden="1" customHeight="1" outlineLevel="1" x14ac:dyDescent="0.2">
      <c r="A72" s="8"/>
      <c r="B72" s="421"/>
      <c r="C72" s="140" t="s">
        <v>64</v>
      </c>
      <c r="D72" s="98" t="s">
        <v>260</v>
      </c>
      <c r="E72" s="242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1000</v>
      </c>
      <c r="M72" s="9">
        <v>3000</v>
      </c>
      <c r="N72" s="6">
        <f t="shared" si="0"/>
        <v>4000</v>
      </c>
      <c r="O72" s="9">
        <f>3000-3000</f>
        <v>0</v>
      </c>
      <c r="P72" s="9">
        <v>0</v>
      </c>
      <c r="Q72" s="9">
        <f>1500-1500</f>
        <v>0</v>
      </c>
      <c r="R72" s="9">
        <f>2000-2000</f>
        <v>0</v>
      </c>
      <c r="S72" s="9">
        <v>0</v>
      </c>
      <c r="T72" s="9">
        <v>0</v>
      </c>
      <c r="U72" s="6">
        <f t="shared" si="1"/>
        <v>4000</v>
      </c>
    </row>
    <row r="73" spans="1:21" s="7" customFormat="1" ht="46.5" hidden="1" customHeight="1" outlineLevel="1" x14ac:dyDescent="0.2">
      <c r="A73" s="423"/>
      <c r="B73" s="422"/>
      <c r="C73" s="140" t="s">
        <v>264</v>
      </c>
      <c r="D73" s="98" t="s">
        <v>260</v>
      </c>
      <c r="E73" s="242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6500</v>
      </c>
      <c r="N73" s="6">
        <f t="shared" si="0"/>
        <v>6500</v>
      </c>
      <c r="O73" s="9">
        <v>0</v>
      </c>
      <c r="P73" s="9">
        <v>0</v>
      </c>
      <c r="Q73" s="9">
        <v>0</v>
      </c>
      <c r="R73" s="9">
        <f>5500-5500</f>
        <v>0</v>
      </c>
      <c r="S73" s="9">
        <v>0</v>
      </c>
      <c r="T73" s="9">
        <v>0</v>
      </c>
      <c r="U73" s="6">
        <f t="shared" si="1"/>
        <v>6500</v>
      </c>
    </row>
    <row r="74" spans="1:21" s="7" customFormat="1" ht="45" hidden="1" customHeight="1" outlineLevel="1" x14ac:dyDescent="0.2">
      <c r="A74" s="424"/>
      <c r="B74" s="422"/>
      <c r="C74" s="140" t="s">
        <v>65</v>
      </c>
      <c r="D74" s="98" t="s">
        <v>260</v>
      </c>
      <c r="E74" s="242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f>10000-2100</f>
        <v>7900</v>
      </c>
      <c r="M74" s="9">
        <v>0</v>
      </c>
      <c r="N74" s="6">
        <f t="shared" si="0"/>
        <v>7900</v>
      </c>
      <c r="O74" s="9">
        <v>0</v>
      </c>
      <c r="P74" s="9">
        <v>0</v>
      </c>
      <c r="Q74" s="9">
        <f>300-300</f>
        <v>0</v>
      </c>
      <c r="R74" s="9">
        <f>300-300</f>
        <v>0</v>
      </c>
      <c r="S74" s="9">
        <v>0</v>
      </c>
      <c r="T74" s="9">
        <v>0</v>
      </c>
      <c r="U74" s="6">
        <f t="shared" si="1"/>
        <v>7900</v>
      </c>
    </row>
    <row r="75" spans="1:21" s="329" customFormat="1" ht="44.25" hidden="1" customHeight="1" outlineLevel="1" x14ac:dyDescent="0.2">
      <c r="A75" s="322"/>
      <c r="B75" s="323"/>
      <c r="C75" s="324" t="s">
        <v>213</v>
      </c>
      <c r="D75" s="325" t="s">
        <v>61</v>
      </c>
      <c r="E75" s="326"/>
      <c r="F75" s="327" t="s">
        <v>11</v>
      </c>
      <c r="G75" s="321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51559</v>
      </c>
      <c r="M75" s="328">
        <v>50074</v>
      </c>
      <c r="N75" s="321">
        <f t="shared" si="0"/>
        <v>101633</v>
      </c>
      <c r="O75" s="328">
        <v>51535</v>
      </c>
      <c r="P75" s="328">
        <v>63296.71587</v>
      </c>
      <c r="Q75" s="328">
        <f>69180.47911+3210.84737</f>
        <v>72391.326480000003</v>
      </c>
      <c r="R75" s="328">
        <f>62949.17669+9104.43512</f>
        <v>72053.611810000002</v>
      </c>
      <c r="S75" s="328">
        <f>59681.44191+8050.71317</f>
        <v>67732.155079999997</v>
      </c>
      <c r="T75" s="328">
        <f>56045.67041+5300</f>
        <v>61345.670409999999</v>
      </c>
      <c r="U75" s="321">
        <f t="shared" si="1"/>
        <v>489987.47965000011</v>
      </c>
    </row>
    <row r="76" spans="1:21" s="7" customFormat="1" ht="57" hidden="1" customHeight="1" outlineLevel="1" x14ac:dyDescent="0.2">
      <c r="A76" s="196"/>
      <c r="B76" s="221"/>
      <c r="C76" s="14" t="s">
        <v>66</v>
      </c>
      <c r="D76" s="135" t="s">
        <v>61</v>
      </c>
      <c r="E76" s="203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f>307183.1-2334.6</f>
        <v>304848.5</v>
      </c>
      <c r="M76" s="6">
        <f>361442.2-1000</f>
        <v>360442.2</v>
      </c>
      <c r="N76" s="6">
        <f t="shared" si="0"/>
        <v>665290.69999999995</v>
      </c>
      <c r="O76" s="6">
        <v>449833.8</v>
      </c>
      <c r="P76" s="6">
        <v>550038.13575999998</v>
      </c>
      <c r="Q76" s="6">
        <f>575145.27782-103285.28</f>
        <v>471859.99781999993</v>
      </c>
      <c r="R76" s="6">
        <f>618980.48228-102360.48</f>
        <v>516620.00228000002</v>
      </c>
      <c r="S76" s="6">
        <f>666502.23373-135402.23</f>
        <v>531100.00373</v>
      </c>
      <c r="T76" s="6">
        <f>720843.0943-136633.09</f>
        <v>584210.00430000003</v>
      </c>
      <c r="U76" s="6">
        <f t="shared" si="1"/>
        <v>3768952.6438899999</v>
      </c>
    </row>
    <row r="77" spans="1:21" s="7" customFormat="1" ht="159.75" hidden="1" customHeight="1" outlineLevel="1" x14ac:dyDescent="0.2">
      <c r="A77" s="75">
        <v>1</v>
      </c>
      <c r="B77" s="217" t="s">
        <v>8</v>
      </c>
      <c r="C77" s="228" t="s">
        <v>67</v>
      </c>
      <c r="D77" s="229" t="s">
        <v>283</v>
      </c>
      <c r="E77" s="92" t="s">
        <v>271</v>
      </c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27">
        <v>2250</v>
      </c>
      <c r="N77" s="6">
        <f t="shared" si="0"/>
        <v>2250</v>
      </c>
      <c r="O77" s="27">
        <v>0</v>
      </c>
      <c r="P77" s="27">
        <v>3700</v>
      </c>
      <c r="Q77" s="27">
        <f>1500-1500+2980.44</f>
        <v>2980.44</v>
      </c>
      <c r="R77" s="27">
        <v>0</v>
      </c>
      <c r="S77" s="27">
        <v>0</v>
      </c>
      <c r="T77" s="27">
        <v>0</v>
      </c>
      <c r="U77" s="6">
        <f t="shared" si="1"/>
        <v>8930.44</v>
      </c>
    </row>
    <row r="78" spans="1:21" s="7" customFormat="1" ht="45.75" hidden="1" customHeight="1" outlineLevel="1" x14ac:dyDescent="0.2">
      <c r="A78" s="8"/>
      <c r="B78" s="11"/>
      <c r="C78" s="112" t="s">
        <v>68</v>
      </c>
      <c r="D78" s="93" t="s">
        <v>69</v>
      </c>
      <c r="E78" s="241"/>
      <c r="F78" s="108" t="s">
        <v>11</v>
      </c>
      <c r="G78" s="22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2">
        <f>72927.1+5360+16000</f>
        <v>94287.1</v>
      </c>
      <c r="N78" s="22">
        <f t="shared" si="0"/>
        <v>94287.1</v>
      </c>
      <c r="O78" s="22">
        <f>87444.4+18000+9200+4235-2850.5+3000</f>
        <v>119028.9</v>
      </c>
      <c r="P78" s="22">
        <v>241085.13451</v>
      </c>
      <c r="Q78" s="22">
        <f>305345.93681-169945.94</f>
        <v>135399.99680999998</v>
      </c>
      <c r="R78" s="22">
        <f>394183.52027-241853.52</f>
        <v>152330.00026999999</v>
      </c>
      <c r="S78" s="22">
        <f>496402.59255-339402.59</f>
        <v>157000.00254999998</v>
      </c>
      <c r="T78" s="22">
        <f>612403.79011-439703.79</f>
        <v>172700.00010999996</v>
      </c>
      <c r="U78" s="22">
        <f t="shared" si="1"/>
        <v>1071831.1342499999</v>
      </c>
    </row>
    <row r="79" spans="1:21" s="7" customFormat="1" ht="44.25" hidden="1" customHeight="1" outlineLevel="1" x14ac:dyDescent="0.2">
      <c r="A79" s="8"/>
      <c r="B79" s="11"/>
      <c r="C79" s="113" t="s">
        <v>70</v>
      </c>
      <c r="D79" s="95" t="s">
        <v>69</v>
      </c>
      <c r="E79" s="241"/>
      <c r="F79" s="24" t="s">
        <v>11</v>
      </c>
      <c r="G79" s="6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6">
        <v>1000</v>
      </c>
      <c r="N79" s="6">
        <f t="shared" si="0"/>
        <v>1000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f t="shared" si="1"/>
        <v>1000</v>
      </c>
    </row>
    <row r="80" spans="1:21" s="7" customFormat="1" ht="145.5" customHeight="1" outlineLevel="1" x14ac:dyDescent="0.2">
      <c r="A80" s="101">
        <v>1</v>
      </c>
      <c r="B80" s="219" t="s">
        <v>8</v>
      </c>
      <c r="C80" s="111" t="s">
        <v>265</v>
      </c>
      <c r="D80" s="383" t="s">
        <v>71</v>
      </c>
      <c r="E80" s="238" t="s">
        <v>271</v>
      </c>
      <c r="F80" s="379" t="s">
        <v>299</v>
      </c>
      <c r="G80" s="6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6">
        <v>0</v>
      </c>
      <c r="N80" s="6">
        <f t="shared" si="0"/>
        <v>0</v>
      </c>
      <c r="O80" s="6">
        <f>150000-25055</f>
        <v>124945</v>
      </c>
      <c r="P80" s="6">
        <v>140000</v>
      </c>
      <c r="Q80" s="6">
        <f>150000-100000</f>
        <v>50000</v>
      </c>
      <c r="R80" s="6">
        <f>170000-100000+8000</f>
        <v>78000</v>
      </c>
      <c r="S80" s="6">
        <f>185000-100000</f>
        <v>85000</v>
      </c>
      <c r="T80" s="6">
        <f>200000-100000</f>
        <v>100000</v>
      </c>
      <c r="U80" s="6">
        <f t="shared" si="1"/>
        <v>577945</v>
      </c>
    </row>
    <row r="81" spans="1:21" s="7" customFormat="1" ht="44.25" hidden="1" customHeight="1" outlineLevel="1" x14ac:dyDescent="0.2">
      <c r="A81" s="8"/>
      <c r="B81" s="11"/>
      <c r="C81" s="28" t="s">
        <v>72</v>
      </c>
      <c r="D81" s="29" t="s">
        <v>73</v>
      </c>
      <c r="E81" s="10"/>
      <c r="F81" s="368" t="s">
        <v>11</v>
      </c>
      <c r="G81" s="6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6">
        <v>0</v>
      </c>
      <c r="N81" s="6">
        <f t="shared" si="0"/>
        <v>0</v>
      </c>
      <c r="O81" s="6">
        <v>0</v>
      </c>
      <c r="P81" s="6">
        <v>0</v>
      </c>
      <c r="Q81" s="6">
        <f>132000-77000</f>
        <v>55000</v>
      </c>
      <c r="R81" s="6">
        <f>140000-80000</f>
        <v>60000</v>
      </c>
      <c r="S81" s="6">
        <f>110000-10000</f>
        <v>100000</v>
      </c>
      <c r="T81" s="6">
        <f>125000-5000</f>
        <v>120000</v>
      </c>
      <c r="U81" s="6">
        <f t="shared" si="1"/>
        <v>335000</v>
      </c>
    </row>
    <row r="82" spans="1:21" s="7" customFormat="1" ht="38.25" hidden="1" customHeight="1" outlineLevel="1" x14ac:dyDescent="0.2">
      <c r="A82" s="8"/>
      <c r="B82" s="11"/>
      <c r="C82" s="114" t="s">
        <v>74</v>
      </c>
      <c r="D82" s="15">
        <v>2024</v>
      </c>
      <c r="E82" s="10"/>
      <c r="F82" s="368" t="s">
        <v>11</v>
      </c>
      <c r="G82" s="6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6">
        <v>0</v>
      </c>
      <c r="N82" s="6">
        <f t="shared" ref="N82:N146" si="3">G82+H82+I82+J82+K82+L82+M82</f>
        <v>0</v>
      </c>
      <c r="O82" s="6">
        <v>0</v>
      </c>
      <c r="P82" s="6">
        <v>2000</v>
      </c>
      <c r="Q82" s="6">
        <f>3000-3000</f>
        <v>0</v>
      </c>
      <c r="R82" s="6">
        <v>0</v>
      </c>
      <c r="S82" s="6">
        <v>0</v>
      </c>
      <c r="T82" s="6">
        <v>0</v>
      </c>
      <c r="U82" s="6">
        <f t="shared" ref="U82:U84" si="4">SUM(G82:T82)-N82</f>
        <v>2000</v>
      </c>
    </row>
    <row r="83" spans="1:21" s="7" customFormat="1" ht="46.5" hidden="1" customHeight="1" outlineLevel="1" x14ac:dyDescent="0.2">
      <c r="A83" s="8"/>
      <c r="B83" s="11"/>
      <c r="C83" s="114" t="s">
        <v>269</v>
      </c>
      <c r="D83" s="147">
        <v>2024</v>
      </c>
      <c r="E83" s="10"/>
      <c r="F83" s="368" t="s">
        <v>11</v>
      </c>
      <c r="G83" s="6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6">
        <v>0</v>
      </c>
      <c r="N83" s="6">
        <f t="shared" si="3"/>
        <v>0</v>
      </c>
      <c r="O83" s="6">
        <v>0</v>
      </c>
      <c r="P83" s="6">
        <v>15000</v>
      </c>
      <c r="Q83" s="6">
        <f>2000-2000</f>
        <v>0</v>
      </c>
      <c r="R83" s="6">
        <v>0</v>
      </c>
      <c r="S83" s="6">
        <v>0</v>
      </c>
      <c r="T83" s="6">
        <v>0</v>
      </c>
      <c r="U83" s="6">
        <f t="shared" si="4"/>
        <v>15000</v>
      </c>
    </row>
    <row r="84" spans="1:21" s="329" customFormat="1" ht="56.25" hidden="1" customHeight="1" outlineLevel="1" x14ac:dyDescent="0.2">
      <c r="A84" s="322"/>
      <c r="B84" s="330"/>
      <c r="C84" s="331" t="s">
        <v>253</v>
      </c>
      <c r="D84" s="332" t="s">
        <v>250</v>
      </c>
      <c r="E84" s="10"/>
      <c r="F84" s="369" t="s">
        <v>11</v>
      </c>
      <c r="G84" s="321"/>
      <c r="H84" s="328"/>
      <c r="I84" s="328"/>
      <c r="J84" s="328"/>
      <c r="K84" s="328"/>
      <c r="L84" s="328"/>
      <c r="M84" s="321"/>
      <c r="N84" s="321">
        <f t="shared" si="3"/>
        <v>0</v>
      </c>
      <c r="O84" s="321">
        <v>0</v>
      </c>
      <c r="P84" s="321">
        <v>0</v>
      </c>
      <c r="Q84" s="321">
        <f>19250-5950</f>
        <v>13300</v>
      </c>
      <c r="R84" s="321">
        <f>8900</f>
        <v>8900</v>
      </c>
      <c r="S84" s="321">
        <f>5300</f>
        <v>5300</v>
      </c>
      <c r="T84" s="321">
        <f>5500</f>
        <v>5500</v>
      </c>
      <c r="U84" s="321">
        <f t="shared" si="4"/>
        <v>33000</v>
      </c>
    </row>
    <row r="85" spans="1:21" s="7" customFormat="1" ht="84" customHeight="1" outlineLevel="1" x14ac:dyDescent="0.2">
      <c r="A85" s="469" t="s">
        <v>75</v>
      </c>
      <c r="B85" s="470"/>
      <c r="C85" s="134"/>
      <c r="D85" s="144"/>
      <c r="E85" s="367"/>
      <c r="F85" s="370" t="s">
        <v>299</v>
      </c>
      <c r="G85" s="146">
        <f t="shared" ref="G85:L85" si="5">SUM(G17:G83)-G44</f>
        <v>115838.47999999998</v>
      </c>
      <c r="H85" s="146">
        <f t="shared" si="5"/>
        <v>214504.09999999998</v>
      </c>
      <c r="I85" s="146">
        <f t="shared" si="5"/>
        <v>240425.5</v>
      </c>
      <c r="J85" s="146">
        <f t="shared" si="5"/>
        <v>295414.2</v>
      </c>
      <c r="K85" s="146">
        <f t="shared" si="5"/>
        <v>449477.26</v>
      </c>
      <c r="L85" s="146">
        <f t="shared" si="5"/>
        <v>628078.5</v>
      </c>
      <c r="M85" s="146">
        <f>SUM(M17:M83)-M44</f>
        <v>664788.29999999993</v>
      </c>
      <c r="N85" s="146">
        <f t="shared" ref="N85:U85" si="6">SUM(N17:N84)-N44</f>
        <v>2608526.3399999994</v>
      </c>
      <c r="O85" s="146">
        <f t="shared" si="6"/>
        <v>854868.20000000007</v>
      </c>
      <c r="P85" s="146">
        <f t="shared" si="6"/>
        <v>1049319.9861399999</v>
      </c>
      <c r="Q85" s="146">
        <f t="shared" si="6"/>
        <v>800931.76110999985</v>
      </c>
      <c r="R85" s="146">
        <f t="shared" si="6"/>
        <v>887903.61436000001</v>
      </c>
      <c r="S85" s="146">
        <f t="shared" si="6"/>
        <v>946132.16135999991</v>
      </c>
      <c r="T85" s="146">
        <f t="shared" si="6"/>
        <v>1043755.6748200001</v>
      </c>
      <c r="U85" s="146">
        <f t="shared" si="6"/>
        <v>8191437.7377900006</v>
      </c>
    </row>
    <row r="86" spans="1:21" s="7" customFormat="1" ht="45" hidden="1" customHeight="1" outlineLevel="1" x14ac:dyDescent="0.2">
      <c r="A86" s="241">
        <v>2</v>
      </c>
      <c r="B86" s="219" t="s">
        <v>76</v>
      </c>
      <c r="C86" s="117" t="s">
        <v>77</v>
      </c>
      <c r="D86" s="93" t="s">
        <v>10</v>
      </c>
      <c r="E86" s="10"/>
      <c r="F86" s="368" t="s">
        <v>11</v>
      </c>
      <c r="G86" s="6">
        <v>134514.32</v>
      </c>
      <c r="H86" s="6">
        <f>146683.2+8661.9</f>
        <v>155345.1</v>
      </c>
      <c r="I86" s="6">
        <v>209068.1</v>
      </c>
      <c r="J86" s="6">
        <v>224749.2</v>
      </c>
      <c r="K86" s="6">
        <v>310495.3</v>
      </c>
      <c r="L86" s="6">
        <f>24514+5642.2</f>
        <v>30156.2</v>
      </c>
      <c r="M86" s="6">
        <v>0</v>
      </c>
      <c r="N86" s="6">
        <f t="shared" si="3"/>
        <v>1064328.22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>SUM(G86:T86)-N86</f>
        <v>1064328.22</v>
      </c>
    </row>
    <row r="87" spans="1:21" s="7" customFormat="1" ht="48.75" hidden="1" customHeight="1" outlineLevel="1" x14ac:dyDescent="0.2">
      <c r="A87" s="241"/>
      <c r="B87" s="239"/>
      <c r="C87" s="115" t="s">
        <v>79</v>
      </c>
      <c r="D87" s="97" t="s">
        <v>25</v>
      </c>
      <c r="E87" s="10"/>
      <c r="F87" s="371" t="s">
        <v>11</v>
      </c>
      <c r="G87" s="222">
        <v>3000</v>
      </c>
      <c r="H87" s="222">
        <v>12000</v>
      </c>
      <c r="I87" s="222">
        <v>3745</v>
      </c>
      <c r="J87" s="222">
        <v>8100</v>
      </c>
      <c r="K87" s="222">
        <v>9720</v>
      </c>
      <c r="L87" s="222">
        <f>0+979.5</f>
        <v>979.5</v>
      </c>
      <c r="M87" s="222">
        <v>0</v>
      </c>
      <c r="N87" s="222">
        <f t="shared" si="3"/>
        <v>37544.5</v>
      </c>
      <c r="O87" s="222">
        <v>0</v>
      </c>
      <c r="P87" s="222">
        <v>0</v>
      </c>
      <c r="Q87" s="222">
        <v>0</v>
      </c>
      <c r="R87" s="222">
        <v>0</v>
      </c>
      <c r="S87" s="222">
        <v>0</v>
      </c>
      <c r="T87" s="222">
        <v>0</v>
      </c>
      <c r="U87" s="222">
        <f t="shared" ref="U87:U150" si="7">SUM(G87:T87)-N87</f>
        <v>37544.5</v>
      </c>
    </row>
    <row r="88" spans="1:21" s="91" customFormat="1" ht="62.25" hidden="1" customHeight="1" x14ac:dyDescent="0.2">
      <c r="A88" s="101">
        <v>2</v>
      </c>
      <c r="B88" s="445" t="s">
        <v>76</v>
      </c>
      <c r="C88" s="333" t="s">
        <v>257</v>
      </c>
      <c r="D88" s="335" t="s">
        <v>252</v>
      </c>
      <c r="E88" s="473" t="s">
        <v>292</v>
      </c>
      <c r="F88" s="372" t="s">
        <v>11</v>
      </c>
      <c r="G88" s="336">
        <v>0</v>
      </c>
      <c r="H88" s="337">
        <f>498.2+2700</f>
        <v>3198.2</v>
      </c>
      <c r="I88" s="337">
        <v>0</v>
      </c>
      <c r="J88" s="337">
        <v>2200</v>
      </c>
      <c r="K88" s="337">
        <v>5500</v>
      </c>
      <c r="L88" s="337">
        <v>0</v>
      </c>
      <c r="M88" s="337">
        <v>0</v>
      </c>
      <c r="N88" s="337">
        <f t="shared" si="3"/>
        <v>10898.2</v>
      </c>
      <c r="O88" s="337">
        <v>0</v>
      </c>
      <c r="P88" s="337">
        <v>0</v>
      </c>
      <c r="Q88" s="337">
        <f>239.8+1650</f>
        <v>1889.8</v>
      </c>
      <c r="R88" s="337">
        <v>0</v>
      </c>
      <c r="S88" s="337">
        <v>0</v>
      </c>
      <c r="T88" s="337">
        <v>0</v>
      </c>
      <c r="U88" s="337">
        <f t="shared" si="7"/>
        <v>12788</v>
      </c>
    </row>
    <row r="89" spans="1:21" s="7" customFormat="1" ht="45.75" hidden="1" customHeight="1" outlineLevel="1" x14ac:dyDescent="0.2">
      <c r="A89" s="320"/>
      <c r="B89" s="446"/>
      <c r="C89" s="338" t="s">
        <v>80</v>
      </c>
      <c r="D89" s="339" t="s">
        <v>25</v>
      </c>
      <c r="E89" s="474"/>
      <c r="F89" s="372" t="s">
        <v>11</v>
      </c>
      <c r="G89" s="337">
        <v>909</v>
      </c>
      <c r="H89" s="337">
        <v>1500</v>
      </c>
      <c r="I89" s="337">
        <v>1700</v>
      </c>
      <c r="J89" s="337">
        <v>1354.7</v>
      </c>
      <c r="K89" s="337">
        <v>1339.3</v>
      </c>
      <c r="L89" s="337">
        <f>0+564</f>
        <v>564</v>
      </c>
      <c r="M89" s="337">
        <v>0</v>
      </c>
      <c r="N89" s="337">
        <f t="shared" si="3"/>
        <v>7367</v>
      </c>
      <c r="O89" s="337">
        <v>0</v>
      </c>
      <c r="P89" s="337">
        <v>0</v>
      </c>
      <c r="Q89" s="337">
        <v>0</v>
      </c>
      <c r="R89" s="337">
        <v>0</v>
      </c>
      <c r="S89" s="337">
        <v>0</v>
      </c>
      <c r="T89" s="337">
        <v>0</v>
      </c>
      <c r="U89" s="337">
        <f t="shared" si="7"/>
        <v>7367</v>
      </c>
    </row>
    <row r="90" spans="1:21" s="7" customFormat="1" ht="57.75" hidden="1" customHeight="1" outlineLevel="1" x14ac:dyDescent="0.2">
      <c r="A90" s="320"/>
      <c r="B90" s="446"/>
      <c r="C90" s="338" t="s">
        <v>81</v>
      </c>
      <c r="D90" s="340" t="s">
        <v>25</v>
      </c>
      <c r="E90" s="474"/>
      <c r="F90" s="372" t="s">
        <v>11</v>
      </c>
      <c r="G90" s="336">
        <v>0</v>
      </c>
      <c r="H90" s="336">
        <v>0</v>
      </c>
      <c r="I90" s="336">
        <v>0</v>
      </c>
      <c r="J90" s="337">
        <v>12867</v>
      </c>
      <c r="K90" s="336">
        <v>0</v>
      </c>
      <c r="L90" s="336">
        <v>0</v>
      </c>
      <c r="M90" s="336">
        <v>16000</v>
      </c>
      <c r="N90" s="337">
        <f t="shared" si="3"/>
        <v>28867</v>
      </c>
      <c r="O90" s="336">
        <v>0</v>
      </c>
      <c r="P90" s="337">
        <v>0</v>
      </c>
      <c r="Q90" s="337">
        <v>0</v>
      </c>
      <c r="R90" s="337">
        <v>0</v>
      </c>
      <c r="S90" s="337">
        <v>0</v>
      </c>
      <c r="T90" s="337">
        <v>0</v>
      </c>
      <c r="U90" s="337">
        <f t="shared" si="7"/>
        <v>28867</v>
      </c>
    </row>
    <row r="91" spans="1:21" s="7" customFormat="1" ht="46.5" hidden="1" customHeight="1" outlineLevel="1" x14ac:dyDescent="0.2">
      <c r="A91" s="92"/>
      <c r="B91" s="446"/>
      <c r="C91" s="338" t="s">
        <v>82</v>
      </c>
      <c r="D91" s="340" t="s">
        <v>25</v>
      </c>
      <c r="E91" s="474"/>
      <c r="F91" s="372" t="s">
        <v>11</v>
      </c>
      <c r="G91" s="336">
        <v>0</v>
      </c>
      <c r="H91" s="337">
        <v>16000</v>
      </c>
      <c r="I91" s="336">
        <v>0</v>
      </c>
      <c r="J91" s="336">
        <v>0</v>
      </c>
      <c r="K91" s="336">
        <v>7218</v>
      </c>
      <c r="L91" s="336">
        <v>20000</v>
      </c>
      <c r="M91" s="336">
        <v>0</v>
      </c>
      <c r="N91" s="337">
        <f t="shared" si="3"/>
        <v>43218</v>
      </c>
      <c r="O91" s="336">
        <v>0</v>
      </c>
      <c r="P91" s="337">
        <v>0</v>
      </c>
      <c r="Q91" s="337">
        <v>0</v>
      </c>
      <c r="R91" s="337">
        <v>0</v>
      </c>
      <c r="S91" s="337">
        <v>0</v>
      </c>
      <c r="T91" s="337">
        <v>0</v>
      </c>
      <c r="U91" s="337">
        <f t="shared" si="7"/>
        <v>43218</v>
      </c>
    </row>
    <row r="92" spans="1:21" s="7" customFormat="1" ht="81.75" hidden="1" customHeight="1" outlineLevel="1" x14ac:dyDescent="0.2">
      <c r="A92" s="320"/>
      <c r="B92" s="446"/>
      <c r="C92" s="338" t="s">
        <v>215</v>
      </c>
      <c r="D92" s="340" t="s">
        <v>25</v>
      </c>
      <c r="E92" s="474"/>
      <c r="F92" s="372" t="s">
        <v>11</v>
      </c>
      <c r="G92" s="336">
        <v>0</v>
      </c>
      <c r="H92" s="337">
        <v>6000</v>
      </c>
      <c r="I92" s="336">
        <v>0</v>
      </c>
      <c r="J92" s="336">
        <v>8000</v>
      </c>
      <c r="K92" s="336">
        <v>0</v>
      </c>
      <c r="L92" s="336">
        <v>7042</v>
      </c>
      <c r="M92" s="336">
        <v>0</v>
      </c>
      <c r="N92" s="337">
        <f t="shared" si="3"/>
        <v>21042</v>
      </c>
      <c r="O92" s="336">
        <v>0</v>
      </c>
      <c r="P92" s="337">
        <v>0</v>
      </c>
      <c r="Q92" s="337">
        <v>0</v>
      </c>
      <c r="R92" s="337">
        <v>0</v>
      </c>
      <c r="S92" s="337">
        <v>0</v>
      </c>
      <c r="T92" s="337">
        <v>0</v>
      </c>
      <c r="U92" s="337">
        <f t="shared" si="7"/>
        <v>21042</v>
      </c>
    </row>
    <row r="93" spans="1:21" s="7" customFormat="1" ht="42" hidden="1" customHeight="1" outlineLevel="1" x14ac:dyDescent="0.2">
      <c r="A93" s="320"/>
      <c r="B93" s="446"/>
      <c r="C93" s="338" t="s">
        <v>83</v>
      </c>
      <c r="D93" s="341" t="s">
        <v>14</v>
      </c>
      <c r="E93" s="474"/>
      <c r="F93" s="372" t="s">
        <v>11</v>
      </c>
      <c r="G93" s="336">
        <v>0</v>
      </c>
      <c r="H93" s="337">
        <v>143</v>
      </c>
      <c r="I93" s="337">
        <v>195</v>
      </c>
      <c r="J93" s="337">
        <v>105</v>
      </c>
      <c r="K93" s="337">
        <v>105</v>
      </c>
      <c r="L93" s="337">
        <v>0</v>
      </c>
      <c r="M93" s="337">
        <v>0</v>
      </c>
      <c r="N93" s="337">
        <f t="shared" si="3"/>
        <v>548</v>
      </c>
      <c r="O93" s="337">
        <v>0</v>
      </c>
      <c r="P93" s="337">
        <v>0</v>
      </c>
      <c r="Q93" s="337">
        <v>0</v>
      </c>
      <c r="R93" s="337">
        <v>0</v>
      </c>
      <c r="S93" s="337">
        <v>0</v>
      </c>
      <c r="T93" s="337">
        <v>0</v>
      </c>
      <c r="U93" s="337">
        <f t="shared" si="7"/>
        <v>548</v>
      </c>
    </row>
    <row r="94" spans="1:21" s="7" customFormat="1" ht="48.75" hidden="1" customHeight="1" outlineLevel="1" x14ac:dyDescent="0.2">
      <c r="A94" s="320"/>
      <c r="B94" s="446"/>
      <c r="C94" s="338" t="s">
        <v>84</v>
      </c>
      <c r="D94" s="340" t="s">
        <v>14</v>
      </c>
      <c r="E94" s="474"/>
      <c r="F94" s="372" t="s">
        <v>11</v>
      </c>
      <c r="G94" s="336">
        <v>0</v>
      </c>
      <c r="H94" s="337">
        <v>1530.8</v>
      </c>
      <c r="I94" s="337">
        <v>490</v>
      </c>
      <c r="J94" s="337">
        <v>890</v>
      </c>
      <c r="K94" s="337">
        <v>0</v>
      </c>
      <c r="L94" s="337">
        <v>0</v>
      </c>
      <c r="M94" s="337">
        <v>0</v>
      </c>
      <c r="N94" s="337">
        <f t="shared" si="3"/>
        <v>2910.8</v>
      </c>
      <c r="O94" s="337">
        <v>0</v>
      </c>
      <c r="P94" s="337">
        <v>0</v>
      </c>
      <c r="Q94" s="337">
        <v>0</v>
      </c>
      <c r="R94" s="337">
        <v>0</v>
      </c>
      <c r="S94" s="337">
        <v>0</v>
      </c>
      <c r="T94" s="337">
        <v>0</v>
      </c>
      <c r="U94" s="337">
        <f t="shared" si="7"/>
        <v>2910.8</v>
      </c>
    </row>
    <row r="95" spans="1:21" s="7" customFormat="1" ht="44.25" hidden="1" customHeight="1" outlineLevel="1" x14ac:dyDescent="0.2">
      <c r="A95" s="320"/>
      <c r="B95" s="446"/>
      <c r="C95" s="338" t="s">
        <v>85</v>
      </c>
      <c r="D95" s="340" t="s">
        <v>25</v>
      </c>
      <c r="E95" s="474"/>
      <c r="F95" s="372" t="s">
        <v>11</v>
      </c>
      <c r="G95" s="336">
        <v>0</v>
      </c>
      <c r="H95" s="337">
        <v>8085</v>
      </c>
      <c r="I95" s="337">
        <v>290.89999999999998</v>
      </c>
      <c r="J95" s="337">
        <v>7367</v>
      </c>
      <c r="K95" s="337">
        <v>8499.5</v>
      </c>
      <c r="L95" s="337">
        <v>62100</v>
      </c>
      <c r="M95" s="337">
        <v>66000</v>
      </c>
      <c r="N95" s="337">
        <f t="shared" si="3"/>
        <v>152342.39999999999</v>
      </c>
      <c r="O95" s="337">
        <v>72600</v>
      </c>
      <c r="P95" s="337">
        <v>0</v>
      </c>
      <c r="Q95" s="337">
        <v>0</v>
      </c>
      <c r="R95" s="337">
        <v>0</v>
      </c>
      <c r="S95" s="337">
        <v>0</v>
      </c>
      <c r="T95" s="337">
        <v>0</v>
      </c>
      <c r="U95" s="337">
        <f t="shared" si="7"/>
        <v>224942.4</v>
      </c>
    </row>
    <row r="96" spans="1:21" s="7" customFormat="1" ht="43.5" hidden="1" customHeight="1" outlineLevel="1" x14ac:dyDescent="0.2">
      <c r="A96" s="320"/>
      <c r="B96" s="446"/>
      <c r="C96" s="342" t="s">
        <v>86</v>
      </c>
      <c r="D96" s="341" t="s">
        <v>14</v>
      </c>
      <c r="E96" s="474"/>
      <c r="F96" s="372" t="s">
        <v>11</v>
      </c>
      <c r="G96" s="336">
        <v>0</v>
      </c>
      <c r="H96" s="337">
        <f>552+228</f>
        <v>780</v>
      </c>
      <c r="I96" s="337">
        <f>1936+2784</f>
        <v>4720</v>
      </c>
      <c r="J96" s="337">
        <f>1936+2784</f>
        <v>4720</v>
      </c>
      <c r="K96" s="337">
        <v>4720</v>
      </c>
      <c r="L96" s="337">
        <v>0</v>
      </c>
      <c r="M96" s="337">
        <v>0</v>
      </c>
      <c r="N96" s="337">
        <f t="shared" si="3"/>
        <v>14940</v>
      </c>
      <c r="O96" s="337">
        <v>0</v>
      </c>
      <c r="P96" s="337">
        <v>0</v>
      </c>
      <c r="Q96" s="337">
        <v>0</v>
      </c>
      <c r="R96" s="337">
        <v>0</v>
      </c>
      <c r="S96" s="337">
        <v>0</v>
      </c>
      <c r="T96" s="337">
        <v>0</v>
      </c>
      <c r="U96" s="337">
        <f t="shared" si="7"/>
        <v>14940</v>
      </c>
    </row>
    <row r="97" spans="1:21" s="7" customFormat="1" ht="42" hidden="1" customHeight="1" outlineLevel="1" x14ac:dyDescent="0.2">
      <c r="A97" s="320"/>
      <c r="B97" s="446"/>
      <c r="C97" s="343" t="s">
        <v>87</v>
      </c>
      <c r="D97" s="339" t="s">
        <v>14</v>
      </c>
      <c r="E97" s="474"/>
      <c r="F97" s="372" t="s">
        <v>11</v>
      </c>
      <c r="G97" s="336">
        <v>0</v>
      </c>
      <c r="H97" s="337">
        <v>176</v>
      </c>
      <c r="I97" s="337">
        <v>500</v>
      </c>
      <c r="J97" s="337">
        <v>0</v>
      </c>
      <c r="K97" s="337">
        <v>0</v>
      </c>
      <c r="L97" s="337">
        <v>0</v>
      </c>
      <c r="M97" s="337">
        <v>0</v>
      </c>
      <c r="N97" s="337">
        <f t="shared" si="3"/>
        <v>676</v>
      </c>
      <c r="O97" s="337">
        <v>0</v>
      </c>
      <c r="P97" s="337">
        <v>0</v>
      </c>
      <c r="Q97" s="337">
        <v>0</v>
      </c>
      <c r="R97" s="337">
        <v>0</v>
      </c>
      <c r="S97" s="337">
        <v>0</v>
      </c>
      <c r="T97" s="337">
        <v>0</v>
      </c>
      <c r="U97" s="337">
        <f t="shared" si="7"/>
        <v>676</v>
      </c>
    </row>
    <row r="98" spans="1:21" s="7" customFormat="1" ht="72" hidden="1" customHeight="1" outlineLevel="1" x14ac:dyDescent="0.2">
      <c r="A98" s="320"/>
      <c r="B98" s="446"/>
      <c r="C98" s="338" t="s">
        <v>193</v>
      </c>
      <c r="D98" s="340">
        <v>2019</v>
      </c>
      <c r="E98" s="474"/>
      <c r="F98" s="372" t="s">
        <v>11</v>
      </c>
      <c r="G98" s="336">
        <v>0</v>
      </c>
      <c r="H98" s="337">
        <v>0</v>
      </c>
      <c r="I98" s="337">
        <v>0</v>
      </c>
      <c r="J98" s="337">
        <v>240</v>
      </c>
      <c r="K98" s="337">
        <v>0</v>
      </c>
      <c r="L98" s="337">
        <v>0</v>
      </c>
      <c r="M98" s="337">
        <v>0</v>
      </c>
      <c r="N98" s="337">
        <f t="shared" si="3"/>
        <v>240</v>
      </c>
      <c r="O98" s="337">
        <v>0</v>
      </c>
      <c r="P98" s="337">
        <v>0</v>
      </c>
      <c r="Q98" s="337">
        <v>0</v>
      </c>
      <c r="R98" s="337">
        <v>0</v>
      </c>
      <c r="S98" s="337">
        <v>0</v>
      </c>
      <c r="T98" s="337">
        <v>0</v>
      </c>
      <c r="U98" s="337">
        <f t="shared" si="7"/>
        <v>240</v>
      </c>
    </row>
    <row r="99" spans="1:21" s="7" customFormat="1" ht="42.75" hidden="1" customHeight="1" outlineLevel="1" x14ac:dyDescent="0.2">
      <c r="A99" s="320"/>
      <c r="B99" s="446"/>
      <c r="C99" s="338" t="s">
        <v>88</v>
      </c>
      <c r="D99" s="340">
        <v>2020</v>
      </c>
      <c r="E99" s="474"/>
      <c r="F99" s="372" t="s">
        <v>11</v>
      </c>
      <c r="G99" s="336">
        <v>0</v>
      </c>
      <c r="H99" s="337">
        <v>0</v>
      </c>
      <c r="I99" s="337">
        <v>0</v>
      </c>
      <c r="J99" s="337">
        <v>0</v>
      </c>
      <c r="K99" s="337">
        <v>1334.27</v>
      </c>
      <c r="L99" s="337">
        <v>0</v>
      </c>
      <c r="M99" s="337">
        <v>0</v>
      </c>
      <c r="N99" s="337">
        <f t="shared" si="3"/>
        <v>1334.27</v>
      </c>
      <c r="O99" s="337">
        <v>0</v>
      </c>
      <c r="P99" s="337">
        <v>0</v>
      </c>
      <c r="Q99" s="337">
        <v>0</v>
      </c>
      <c r="R99" s="337">
        <v>0</v>
      </c>
      <c r="S99" s="337">
        <v>0</v>
      </c>
      <c r="T99" s="337">
        <v>0</v>
      </c>
      <c r="U99" s="337">
        <f t="shared" si="7"/>
        <v>1334.27</v>
      </c>
    </row>
    <row r="100" spans="1:21" s="7" customFormat="1" ht="42.75" hidden="1" customHeight="1" outlineLevel="1" x14ac:dyDescent="0.2">
      <c r="A100" s="320"/>
      <c r="B100" s="446"/>
      <c r="C100" s="338" t="s">
        <v>89</v>
      </c>
      <c r="D100" s="340" t="s">
        <v>90</v>
      </c>
      <c r="E100" s="474"/>
      <c r="F100" s="372" t="s">
        <v>11</v>
      </c>
      <c r="G100" s="336">
        <v>0</v>
      </c>
      <c r="H100" s="337">
        <v>0</v>
      </c>
      <c r="I100" s="337">
        <v>0</v>
      </c>
      <c r="J100" s="337">
        <v>0</v>
      </c>
      <c r="K100" s="337">
        <v>3500</v>
      </c>
      <c r="L100" s="337">
        <f>4500</f>
        <v>4500</v>
      </c>
      <c r="M100" s="337">
        <f>0+4500</f>
        <v>4500</v>
      </c>
      <c r="N100" s="337">
        <f t="shared" si="3"/>
        <v>12500</v>
      </c>
      <c r="O100" s="337">
        <v>4800</v>
      </c>
      <c r="P100" s="337">
        <v>0</v>
      </c>
      <c r="Q100" s="337">
        <v>0</v>
      </c>
      <c r="R100" s="337">
        <v>0</v>
      </c>
      <c r="S100" s="337">
        <v>0</v>
      </c>
      <c r="T100" s="337">
        <v>0</v>
      </c>
      <c r="U100" s="337">
        <f t="shared" si="7"/>
        <v>17300</v>
      </c>
    </row>
    <row r="101" spans="1:21" s="7" customFormat="1" ht="59.25" hidden="1" customHeight="1" outlineLevel="1" x14ac:dyDescent="0.2">
      <c r="A101" s="320"/>
      <c r="B101" s="446"/>
      <c r="C101" s="338" t="s">
        <v>216</v>
      </c>
      <c r="D101" s="340">
        <v>2019</v>
      </c>
      <c r="E101" s="474"/>
      <c r="F101" s="372" t="s">
        <v>11</v>
      </c>
      <c r="G101" s="336">
        <v>0</v>
      </c>
      <c r="H101" s="337">
        <v>0</v>
      </c>
      <c r="I101" s="337">
        <v>0</v>
      </c>
      <c r="J101" s="337">
        <v>5200</v>
      </c>
      <c r="K101" s="337">
        <v>0</v>
      </c>
      <c r="L101" s="337">
        <v>0</v>
      </c>
      <c r="M101" s="337">
        <v>0</v>
      </c>
      <c r="N101" s="337">
        <f t="shared" si="3"/>
        <v>5200</v>
      </c>
      <c r="O101" s="337">
        <v>0</v>
      </c>
      <c r="P101" s="337">
        <v>0</v>
      </c>
      <c r="Q101" s="337">
        <v>0</v>
      </c>
      <c r="R101" s="337">
        <v>0</v>
      </c>
      <c r="S101" s="337">
        <v>0</v>
      </c>
      <c r="T101" s="337">
        <v>0</v>
      </c>
      <c r="U101" s="337">
        <f t="shared" si="7"/>
        <v>5200</v>
      </c>
    </row>
    <row r="102" spans="1:21" s="7" customFormat="1" ht="71.25" hidden="1" customHeight="1" outlineLevel="1" x14ac:dyDescent="0.2">
      <c r="A102" s="320"/>
      <c r="B102" s="446"/>
      <c r="C102" s="338" t="s">
        <v>91</v>
      </c>
      <c r="D102" s="341" t="s">
        <v>50</v>
      </c>
      <c r="E102" s="474"/>
      <c r="F102" s="372" t="s">
        <v>11</v>
      </c>
      <c r="G102" s="336">
        <v>0</v>
      </c>
      <c r="H102" s="337">
        <v>0</v>
      </c>
      <c r="I102" s="337">
        <v>0</v>
      </c>
      <c r="J102" s="337">
        <v>400</v>
      </c>
      <c r="K102" s="337">
        <v>0</v>
      </c>
      <c r="L102" s="337">
        <v>69.55</v>
      </c>
      <c r="M102" s="337">
        <v>0</v>
      </c>
      <c r="N102" s="337">
        <f t="shared" si="3"/>
        <v>469.55</v>
      </c>
      <c r="O102" s="337">
        <v>0</v>
      </c>
      <c r="P102" s="337">
        <v>0</v>
      </c>
      <c r="Q102" s="337">
        <v>0</v>
      </c>
      <c r="R102" s="337">
        <v>0</v>
      </c>
      <c r="S102" s="337">
        <v>0</v>
      </c>
      <c r="T102" s="337">
        <v>0</v>
      </c>
      <c r="U102" s="337">
        <f t="shared" si="7"/>
        <v>469.55</v>
      </c>
    </row>
    <row r="103" spans="1:21" s="7" customFormat="1" ht="46.5" hidden="1" customHeight="1" outlineLevel="1" x14ac:dyDescent="0.2">
      <c r="A103" s="320"/>
      <c r="B103" s="446"/>
      <c r="C103" s="338" t="s">
        <v>92</v>
      </c>
      <c r="D103" s="340" t="s">
        <v>56</v>
      </c>
      <c r="E103" s="474"/>
      <c r="F103" s="372" t="s">
        <v>11</v>
      </c>
      <c r="G103" s="336">
        <v>0</v>
      </c>
      <c r="H103" s="337">
        <v>0</v>
      </c>
      <c r="I103" s="337">
        <v>0</v>
      </c>
      <c r="J103" s="337">
        <v>30000</v>
      </c>
      <c r="K103" s="337">
        <v>0</v>
      </c>
      <c r="L103" s="337">
        <v>0</v>
      </c>
      <c r="M103" s="337">
        <v>0</v>
      </c>
      <c r="N103" s="337">
        <f t="shared" si="3"/>
        <v>30000</v>
      </c>
      <c r="O103" s="337">
        <v>0</v>
      </c>
      <c r="P103" s="337">
        <v>0</v>
      </c>
      <c r="Q103" s="337">
        <v>0</v>
      </c>
      <c r="R103" s="337">
        <v>0</v>
      </c>
      <c r="S103" s="337">
        <v>0</v>
      </c>
      <c r="T103" s="337">
        <v>0</v>
      </c>
      <c r="U103" s="337">
        <f t="shared" si="7"/>
        <v>30000</v>
      </c>
    </row>
    <row r="104" spans="1:21" s="7" customFormat="1" ht="56.25" hidden="1" customHeight="1" outlineLevel="1" x14ac:dyDescent="0.2">
      <c r="A104" s="320"/>
      <c r="B104" s="446"/>
      <c r="C104" s="338" t="s">
        <v>93</v>
      </c>
      <c r="D104" s="341" t="s">
        <v>50</v>
      </c>
      <c r="E104" s="474"/>
      <c r="F104" s="372" t="s">
        <v>11</v>
      </c>
      <c r="G104" s="336">
        <v>0</v>
      </c>
      <c r="H104" s="337">
        <v>0</v>
      </c>
      <c r="I104" s="337">
        <v>0</v>
      </c>
      <c r="J104" s="337">
        <v>7000</v>
      </c>
      <c r="K104" s="337">
        <v>13389</v>
      </c>
      <c r="L104" s="337">
        <f>0+4455</f>
        <v>4455</v>
      </c>
      <c r="M104" s="337">
        <f>0+2600+2000</f>
        <v>4600</v>
      </c>
      <c r="N104" s="337">
        <f t="shared" si="3"/>
        <v>29444</v>
      </c>
      <c r="O104" s="337">
        <v>0</v>
      </c>
      <c r="P104" s="337">
        <v>0</v>
      </c>
      <c r="Q104" s="337">
        <v>0</v>
      </c>
      <c r="R104" s="337">
        <v>0</v>
      </c>
      <c r="S104" s="337">
        <v>0</v>
      </c>
      <c r="T104" s="337">
        <v>0</v>
      </c>
      <c r="U104" s="337">
        <f t="shared" si="7"/>
        <v>29444</v>
      </c>
    </row>
    <row r="105" spans="1:21" s="7" customFormat="1" ht="71.25" hidden="1" customHeight="1" outlineLevel="1" x14ac:dyDescent="0.2">
      <c r="A105" s="320"/>
      <c r="B105" s="446"/>
      <c r="C105" s="338" t="s">
        <v>217</v>
      </c>
      <c r="D105" s="340" t="s">
        <v>90</v>
      </c>
      <c r="E105" s="474"/>
      <c r="F105" s="372" t="s">
        <v>11</v>
      </c>
      <c r="G105" s="336">
        <v>0</v>
      </c>
      <c r="H105" s="336">
        <v>0</v>
      </c>
      <c r="I105" s="336">
        <v>0</v>
      </c>
      <c r="J105" s="336">
        <v>0</v>
      </c>
      <c r="K105" s="337">
        <v>200</v>
      </c>
      <c r="L105" s="337">
        <v>97.64</v>
      </c>
      <c r="M105" s="337">
        <v>0</v>
      </c>
      <c r="N105" s="337">
        <f t="shared" si="3"/>
        <v>297.64</v>
      </c>
      <c r="O105" s="337">
        <v>0</v>
      </c>
      <c r="P105" s="337">
        <v>0</v>
      </c>
      <c r="Q105" s="337">
        <v>0</v>
      </c>
      <c r="R105" s="337">
        <v>0</v>
      </c>
      <c r="S105" s="337">
        <v>0</v>
      </c>
      <c r="T105" s="337">
        <v>0</v>
      </c>
      <c r="U105" s="337">
        <f t="shared" si="7"/>
        <v>297.64</v>
      </c>
    </row>
    <row r="106" spans="1:21" s="7" customFormat="1" ht="41.25" hidden="1" customHeight="1" outlineLevel="1" x14ac:dyDescent="0.2">
      <c r="A106" s="320"/>
      <c r="B106" s="446"/>
      <c r="C106" s="338" t="s">
        <v>94</v>
      </c>
      <c r="D106" s="340">
        <v>2020</v>
      </c>
      <c r="E106" s="474"/>
      <c r="F106" s="372" t="s">
        <v>11</v>
      </c>
      <c r="G106" s="336">
        <v>0</v>
      </c>
      <c r="H106" s="337">
        <v>0</v>
      </c>
      <c r="I106" s="337">
        <v>0</v>
      </c>
      <c r="J106" s="337">
        <v>0</v>
      </c>
      <c r="K106" s="337">
        <v>50000</v>
      </c>
      <c r="L106" s="337">
        <v>0</v>
      </c>
      <c r="M106" s="337">
        <v>0</v>
      </c>
      <c r="N106" s="337">
        <f t="shared" si="3"/>
        <v>50000</v>
      </c>
      <c r="O106" s="337">
        <v>0</v>
      </c>
      <c r="P106" s="337">
        <v>0</v>
      </c>
      <c r="Q106" s="337">
        <v>0</v>
      </c>
      <c r="R106" s="337">
        <v>0</v>
      </c>
      <c r="S106" s="337">
        <v>0</v>
      </c>
      <c r="T106" s="337">
        <v>0</v>
      </c>
      <c r="U106" s="337">
        <f t="shared" si="7"/>
        <v>50000</v>
      </c>
    </row>
    <row r="107" spans="1:21" s="7" customFormat="1" ht="36" hidden="1" customHeight="1" outlineLevel="1" x14ac:dyDescent="0.2">
      <c r="A107" s="320"/>
      <c r="B107" s="446"/>
      <c r="C107" s="338" t="s">
        <v>95</v>
      </c>
      <c r="D107" s="340">
        <v>2020</v>
      </c>
      <c r="E107" s="474"/>
      <c r="F107" s="372" t="s">
        <v>11</v>
      </c>
      <c r="G107" s="336">
        <v>0</v>
      </c>
      <c r="H107" s="337">
        <v>0</v>
      </c>
      <c r="I107" s="337">
        <v>0</v>
      </c>
      <c r="J107" s="337">
        <v>0</v>
      </c>
      <c r="K107" s="337">
        <v>690</v>
      </c>
      <c r="L107" s="337">
        <v>0</v>
      </c>
      <c r="M107" s="337">
        <v>0</v>
      </c>
      <c r="N107" s="337">
        <f t="shared" si="3"/>
        <v>690</v>
      </c>
      <c r="O107" s="337">
        <v>0</v>
      </c>
      <c r="P107" s="337">
        <v>0</v>
      </c>
      <c r="Q107" s="337">
        <v>0</v>
      </c>
      <c r="R107" s="337">
        <v>0</v>
      </c>
      <c r="S107" s="337">
        <v>0</v>
      </c>
      <c r="T107" s="337">
        <v>0</v>
      </c>
      <c r="U107" s="337">
        <f t="shared" si="7"/>
        <v>690</v>
      </c>
    </row>
    <row r="108" spans="1:21" s="7" customFormat="1" ht="48.75" hidden="1" customHeight="1" outlineLevel="1" x14ac:dyDescent="0.2">
      <c r="A108" s="92"/>
      <c r="B108" s="446"/>
      <c r="C108" s="342" t="s">
        <v>220</v>
      </c>
      <c r="D108" s="341">
        <v>2020</v>
      </c>
      <c r="E108" s="474"/>
      <c r="F108" s="372" t="s">
        <v>11</v>
      </c>
      <c r="G108" s="336">
        <v>0</v>
      </c>
      <c r="H108" s="337">
        <v>0</v>
      </c>
      <c r="I108" s="337">
        <v>0</v>
      </c>
      <c r="J108" s="337">
        <v>0</v>
      </c>
      <c r="K108" s="337">
        <v>900</v>
      </c>
      <c r="L108" s="337">
        <v>0</v>
      </c>
      <c r="M108" s="337">
        <v>0</v>
      </c>
      <c r="N108" s="337">
        <f t="shared" si="3"/>
        <v>900</v>
      </c>
      <c r="O108" s="337">
        <v>0</v>
      </c>
      <c r="P108" s="337">
        <v>0</v>
      </c>
      <c r="Q108" s="337">
        <v>0</v>
      </c>
      <c r="R108" s="337">
        <v>0</v>
      </c>
      <c r="S108" s="337">
        <v>0</v>
      </c>
      <c r="T108" s="337">
        <v>0</v>
      </c>
      <c r="U108" s="337">
        <f t="shared" si="7"/>
        <v>900</v>
      </c>
    </row>
    <row r="109" spans="1:21" s="7" customFormat="1" ht="68.25" hidden="1" customHeight="1" outlineLevel="1" x14ac:dyDescent="0.2">
      <c r="A109" s="33"/>
      <c r="B109" s="446"/>
      <c r="C109" s="343" t="s">
        <v>96</v>
      </c>
      <c r="D109" s="339" t="s">
        <v>90</v>
      </c>
      <c r="E109" s="474"/>
      <c r="F109" s="372" t="s">
        <v>11</v>
      </c>
      <c r="G109" s="336">
        <v>0</v>
      </c>
      <c r="H109" s="337">
        <v>0</v>
      </c>
      <c r="I109" s="337">
        <v>0</v>
      </c>
      <c r="J109" s="337">
        <v>0</v>
      </c>
      <c r="K109" s="337">
        <v>2334.5</v>
      </c>
      <c r="L109" s="337">
        <v>1892.3</v>
      </c>
      <c r="M109" s="337">
        <v>0</v>
      </c>
      <c r="N109" s="337">
        <f t="shared" si="3"/>
        <v>4226.8</v>
      </c>
      <c r="O109" s="337">
        <v>0</v>
      </c>
      <c r="P109" s="337">
        <v>0</v>
      </c>
      <c r="Q109" s="337">
        <v>0</v>
      </c>
      <c r="R109" s="337">
        <v>0</v>
      </c>
      <c r="S109" s="337">
        <v>0</v>
      </c>
      <c r="T109" s="337">
        <v>0</v>
      </c>
      <c r="U109" s="337">
        <f t="shared" si="7"/>
        <v>4226.8</v>
      </c>
    </row>
    <row r="110" spans="1:21" s="7" customFormat="1" ht="41.25" hidden="1" customHeight="1" outlineLevel="1" x14ac:dyDescent="0.2">
      <c r="A110" s="33"/>
      <c r="B110" s="446"/>
      <c r="C110" s="338" t="s">
        <v>97</v>
      </c>
      <c r="D110" s="340" t="s">
        <v>90</v>
      </c>
      <c r="E110" s="474"/>
      <c r="F110" s="372" t="s">
        <v>11</v>
      </c>
      <c r="G110" s="336">
        <v>0</v>
      </c>
      <c r="H110" s="337">
        <v>0</v>
      </c>
      <c r="I110" s="337">
        <v>0</v>
      </c>
      <c r="J110" s="337">
        <v>0</v>
      </c>
      <c r="K110" s="337">
        <v>1168.73</v>
      </c>
      <c r="L110" s="337">
        <f>0+320.8</f>
        <v>320.8</v>
      </c>
      <c r="M110" s="337">
        <v>0</v>
      </c>
      <c r="N110" s="337">
        <f t="shared" si="3"/>
        <v>1489.53</v>
      </c>
      <c r="O110" s="337">
        <v>0</v>
      </c>
      <c r="P110" s="337">
        <v>0</v>
      </c>
      <c r="Q110" s="337">
        <v>0</v>
      </c>
      <c r="R110" s="337">
        <v>0</v>
      </c>
      <c r="S110" s="337">
        <v>0</v>
      </c>
      <c r="T110" s="337">
        <v>0</v>
      </c>
      <c r="U110" s="337">
        <f t="shared" si="7"/>
        <v>1489.53</v>
      </c>
    </row>
    <row r="111" spans="1:21" s="7" customFormat="1" ht="58.5" hidden="1" customHeight="1" outlineLevel="1" x14ac:dyDescent="0.2">
      <c r="A111" s="33"/>
      <c r="B111" s="446"/>
      <c r="C111" s="338" t="s">
        <v>221</v>
      </c>
      <c r="D111" s="340" t="s">
        <v>98</v>
      </c>
      <c r="E111" s="474"/>
      <c r="F111" s="372" t="s">
        <v>11</v>
      </c>
      <c r="G111" s="336">
        <v>0</v>
      </c>
      <c r="H111" s="337">
        <v>0</v>
      </c>
      <c r="I111" s="337">
        <v>0</v>
      </c>
      <c r="J111" s="337">
        <v>0</v>
      </c>
      <c r="K111" s="337">
        <v>500</v>
      </c>
      <c r="L111" s="337">
        <v>500</v>
      </c>
      <c r="M111" s="337">
        <v>0</v>
      </c>
      <c r="N111" s="337">
        <f t="shared" si="3"/>
        <v>1000</v>
      </c>
      <c r="O111" s="337">
        <v>0</v>
      </c>
      <c r="P111" s="337">
        <v>0</v>
      </c>
      <c r="Q111" s="337">
        <v>0</v>
      </c>
      <c r="R111" s="337">
        <v>0</v>
      </c>
      <c r="S111" s="337">
        <v>0</v>
      </c>
      <c r="T111" s="337">
        <v>0</v>
      </c>
      <c r="U111" s="337">
        <f t="shared" si="7"/>
        <v>1000</v>
      </c>
    </row>
    <row r="112" spans="1:21" s="91" customFormat="1" ht="41.25" hidden="1" customHeight="1" outlineLevel="1" collapsed="1" x14ac:dyDescent="0.2">
      <c r="A112" s="33"/>
      <c r="B112" s="446"/>
      <c r="C112" s="338" t="s">
        <v>99</v>
      </c>
      <c r="D112" s="340" t="s">
        <v>255</v>
      </c>
      <c r="E112" s="474"/>
      <c r="F112" s="372" t="s">
        <v>11</v>
      </c>
      <c r="G112" s="336">
        <v>0</v>
      </c>
      <c r="H112" s="336">
        <v>0</v>
      </c>
      <c r="I112" s="336">
        <v>0</v>
      </c>
      <c r="J112" s="336">
        <v>0</v>
      </c>
      <c r="K112" s="336">
        <v>0</v>
      </c>
      <c r="L112" s="337">
        <v>5200</v>
      </c>
      <c r="M112" s="337">
        <f>2860-2860</f>
        <v>0</v>
      </c>
      <c r="N112" s="337">
        <f t="shared" si="3"/>
        <v>5200</v>
      </c>
      <c r="O112" s="337">
        <v>3150</v>
      </c>
      <c r="P112" s="337">
        <v>5500</v>
      </c>
      <c r="Q112" s="337">
        <v>0</v>
      </c>
      <c r="R112" s="337">
        <f>5600-5600</f>
        <v>0</v>
      </c>
      <c r="S112" s="337">
        <v>0</v>
      </c>
      <c r="T112" s="337">
        <v>0</v>
      </c>
      <c r="U112" s="337">
        <f t="shared" si="7"/>
        <v>13850</v>
      </c>
    </row>
    <row r="113" spans="1:21" s="7" customFormat="1" ht="48" hidden="1" customHeight="1" outlineLevel="1" x14ac:dyDescent="0.2">
      <c r="A113" s="33"/>
      <c r="B113" s="446"/>
      <c r="C113" s="338" t="s">
        <v>100</v>
      </c>
      <c r="D113" s="341" t="s">
        <v>59</v>
      </c>
      <c r="E113" s="474"/>
      <c r="F113" s="372" t="s">
        <v>11</v>
      </c>
      <c r="G113" s="336">
        <v>0</v>
      </c>
      <c r="H113" s="337">
        <v>0</v>
      </c>
      <c r="I113" s="337">
        <v>0</v>
      </c>
      <c r="J113" s="337">
        <v>0</v>
      </c>
      <c r="K113" s="337">
        <v>0</v>
      </c>
      <c r="L113" s="337">
        <v>2300</v>
      </c>
      <c r="M113" s="337">
        <v>0</v>
      </c>
      <c r="N113" s="337">
        <f t="shared" si="3"/>
        <v>2300</v>
      </c>
      <c r="O113" s="337">
        <v>2800</v>
      </c>
      <c r="P113" s="337">
        <v>0</v>
      </c>
      <c r="Q113" s="337">
        <v>0</v>
      </c>
      <c r="R113" s="337">
        <v>0</v>
      </c>
      <c r="S113" s="337">
        <v>0</v>
      </c>
      <c r="T113" s="337">
        <v>0</v>
      </c>
      <c r="U113" s="337">
        <f t="shared" si="7"/>
        <v>5100</v>
      </c>
    </row>
    <row r="114" spans="1:21" s="7" customFormat="1" ht="48.75" hidden="1" customHeight="1" outlineLevel="1" x14ac:dyDescent="0.2">
      <c r="A114" s="33"/>
      <c r="B114" s="446"/>
      <c r="C114" s="338" t="s">
        <v>102</v>
      </c>
      <c r="D114" s="340" t="s">
        <v>59</v>
      </c>
      <c r="E114" s="474"/>
      <c r="F114" s="372" t="s">
        <v>11</v>
      </c>
      <c r="G114" s="336">
        <v>0</v>
      </c>
      <c r="H114" s="336">
        <v>0</v>
      </c>
      <c r="I114" s="336">
        <v>0</v>
      </c>
      <c r="J114" s="336">
        <v>0</v>
      </c>
      <c r="K114" s="336">
        <v>0</v>
      </c>
      <c r="L114" s="337">
        <v>24900</v>
      </c>
      <c r="M114" s="337">
        <f>27309.5-27309.5</f>
        <v>0</v>
      </c>
      <c r="N114" s="337">
        <f t="shared" si="3"/>
        <v>24900</v>
      </c>
      <c r="O114" s="337">
        <v>0</v>
      </c>
      <c r="P114" s="337">
        <v>0</v>
      </c>
      <c r="Q114" s="337">
        <v>0</v>
      </c>
      <c r="R114" s="337">
        <v>0</v>
      </c>
      <c r="S114" s="337">
        <v>0</v>
      </c>
      <c r="T114" s="337">
        <v>0</v>
      </c>
      <c r="U114" s="337">
        <f t="shared" si="7"/>
        <v>24900</v>
      </c>
    </row>
    <row r="115" spans="1:21" s="7" customFormat="1" ht="44.25" hidden="1" customHeight="1" outlineLevel="1" x14ac:dyDescent="0.2">
      <c r="A115" s="33"/>
      <c r="B115" s="446"/>
      <c r="C115" s="338" t="s">
        <v>103</v>
      </c>
      <c r="D115" s="340" t="s">
        <v>59</v>
      </c>
      <c r="E115" s="474"/>
      <c r="F115" s="372" t="s">
        <v>11</v>
      </c>
      <c r="G115" s="336">
        <v>0</v>
      </c>
      <c r="H115" s="336">
        <v>0</v>
      </c>
      <c r="I115" s="336">
        <v>0</v>
      </c>
      <c r="J115" s="336">
        <v>0</v>
      </c>
      <c r="K115" s="336">
        <v>0</v>
      </c>
      <c r="L115" s="337">
        <v>1000</v>
      </c>
      <c r="M115" s="337">
        <v>0</v>
      </c>
      <c r="N115" s="337">
        <f t="shared" si="3"/>
        <v>1000</v>
      </c>
      <c r="O115" s="337">
        <v>0</v>
      </c>
      <c r="P115" s="337">
        <v>0</v>
      </c>
      <c r="Q115" s="337">
        <v>0</v>
      </c>
      <c r="R115" s="337">
        <v>0</v>
      </c>
      <c r="S115" s="337">
        <v>0</v>
      </c>
      <c r="T115" s="337">
        <v>0</v>
      </c>
      <c r="U115" s="337">
        <f t="shared" si="7"/>
        <v>1000</v>
      </c>
    </row>
    <row r="116" spans="1:21" s="7" customFormat="1" ht="40.5" hidden="1" customHeight="1" outlineLevel="1" collapsed="1" x14ac:dyDescent="0.2">
      <c r="A116" s="33"/>
      <c r="B116" s="446"/>
      <c r="C116" s="338" t="s">
        <v>104</v>
      </c>
      <c r="D116" s="340" t="s">
        <v>59</v>
      </c>
      <c r="E116" s="474"/>
      <c r="F116" s="372" t="s">
        <v>11</v>
      </c>
      <c r="G116" s="336">
        <v>0</v>
      </c>
      <c r="H116" s="336">
        <v>0</v>
      </c>
      <c r="I116" s="336">
        <v>0</v>
      </c>
      <c r="J116" s="336">
        <v>0</v>
      </c>
      <c r="K116" s="336">
        <v>0</v>
      </c>
      <c r="L116" s="337">
        <v>425000</v>
      </c>
      <c r="M116" s="337">
        <v>510000</v>
      </c>
      <c r="N116" s="337">
        <f t="shared" si="3"/>
        <v>935000</v>
      </c>
      <c r="O116" s="337">
        <f>225000-14520</f>
        <v>210480</v>
      </c>
      <c r="P116" s="337">
        <v>0</v>
      </c>
      <c r="Q116" s="337">
        <f>250000-250000</f>
        <v>0</v>
      </c>
      <c r="R116" s="337">
        <f>264500-264500</f>
        <v>0</v>
      </c>
      <c r="S116" s="337">
        <f>300000-300000</f>
        <v>0</v>
      </c>
      <c r="T116" s="337">
        <f>317400-317400</f>
        <v>0</v>
      </c>
      <c r="U116" s="337">
        <f t="shared" si="7"/>
        <v>1145480</v>
      </c>
    </row>
    <row r="117" spans="1:21" s="7" customFormat="1" ht="46.5" hidden="1" customHeight="1" outlineLevel="1" x14ac:dyDescent="0.2">
      <c r="A117" s="33"/>
      <c r="B117" s="446"/>
      <c r="C117" s="338" t="s">
        <v>105</v>
      </c>
      <c r="D117" s="340" t="s">
        <v>59</v>
      </c>
      <c r="E117" s="474"/>
      <c r="F117" s="372" t="s">
        <v>11</v>
      </c>
      <c r="G117" s="336">
        <v>0</v>
      </c>
      <c r="H117" s="336">
        <v>0</v>
      </c>
      <c r="I117" s="336">
        <v>0</v>
      </c>
      <c r="J117" s="336">
        <v>0</v>
      </c>
      <c r="K117" s="336">
        <v>0</v>
      </c>
      <c r="L117" s="337">
        <v>0</v>
      </c>
      <c r="M117" s="337">
        <v>400</v>
      </c>
      <c r="N117" s="337">
        <f t="shared" si="3"/>
        <v>400</v>
      </c>
      <c r="O117" s="337">
        <v>0</v>
      </c>
      <c r="P117" s="337">
        <v>0</v>
      </c>
      <c r="Q117" s="337">
        <v>0</v>
      </c>
      <c r="R117" s="337">
        <v>0</v>
      </c>
      <c r="S117" s="337">
        <v>0</v>
      </c>
      <c r="T117" s="337">
        <v>0</v>
      </c>
      <c r="U117" s="337">
        <f t="shared" si="7"/>
        <v>400</v>
      </c>
    </row>
    <row r="118" spans="1:21" s="7" customFormat="1" ht="48" hidden="1" customHeight="1" outlineLevel="1" x14ac:dyDescent="0.2">
      <c r="A118" s="33"/>
      <c r="B118" s="446"/>
      <c r="C118" s="338" t="s">
        <v>208</v>
      </c>
      <c r="D118" s="340" t="s">
        <v>59</v>
      </c>
      <c r="E118" s="474"/>
      <c r="F118" s="372" t="s">
        <v>11</v>
      </c>
      <c r="G118" s="336">
        <v>0</v>
      </c>
      <c r="H118" s="336">
        <v>0</v>
      </c>
      <c r="I118" s="336">
        <v>0</v>
      </c>
      <c r="J118" s="336">
        <v>0</v>
      </c>
      <c r="K118" s="336">
        <v>0</v>
      </c>
      <c r="L118" s="337">
        <v>0</v>
      </c>
      <c r="M118" s="337">
        <v>300</v>
      </c>
      <c r="N118" s="337">
        <f t="shared" si="3"/>
        <v>300</v>
      </c>
      <c r="O118" s="337">
        <v>0</v>
      </c>
      <c r="P118" s="337">
        <v>0</v>
      </c>
      <c r="Q118" s="337">
        <v>0</v>
      </c>
      <c r="R118" s="337">
        <v>0</v>
      </c>
      <c r="S118" s="337">
        <v>0</v>
      </c>
      <c r="T118" s="337">
        <v>0</v>
      </c>
      <c r="U118" s="337">
        <f t="shared" si="7"/>
        <v>300</v>
      </c>
    </row>
    <row r="119" spans="1:21" s="7" customFormat="1" ht="47.25" hidden="1" customHeight="1" outlineLevel="1" x14ac:dyDescent="0.2">
      <c r="A119" s="33"/>
      <c r="B119" s="446"/>
      <c r="C119" s="338" t="s">
        <v>211</v>
      </c>
      <c r="D119" s="340" t="s">
        <v>59</v>
      </c>
      <c r="E119" s="474"/>
      <c r="F119" s="372" t="s">
        <v>11</v>
      </c>
      <c r="G119" s="336">
        <v>0</v>
      </c>
      <c r="H119" s="336">
        <v>0</v>
      </c>
      <c r="I119" s="336">
        <v>0</v>
      </c>
      <c r="J119" s="336">
        <v>0</v>
      </c>
      <c r="K119" s="336">
        <v>0</v>
      </c>
      <c r="L119" s="337">
        <v>0</v>
      </c>
      <c r="M119" s="337">
        <v>200</v>
      </c>
      <c r="N119" s="337">
        <f t="shared" si="3"/>
        <v>200</v>
      </c>
      <c r="O119" s="337">
        <v>0</v>
      </c>
      <c r="P119" s="337">
        <v>0</v>
      </c>
      <c r="Q119" s="337">
        <v>0</v>
      </c>
      <c r="R119" s="337">
        <v>0</v>
      </c>
      <c r="S119" s="337">
        <v>0</v>
      </c>
      <c r="T119" s="337">
        <v>0</v>
      </c>
      <c r="U119" s="337">
        <f t="shared" si="7"/>
        <v>200</v>
      </c>
    </row>
    <row r="120" spans="1:21" s="7" customFormat="1" ht="44.25" hidden="1" customHeight="1" outlineLevel="1" x14ac:dyDescent="0.2">
      <c r="A120" s="33"/>
      <c r="B120" s="446"/>
      <c r="C120" s="338" t="s">
        <v>194</v>
      </c>
      <c r="D120" s="344" t="s">
        <v>59</v>
      </c>
      <c r="E120" s="474"/>
      <c r="F120" s="372" t="s">
        <v>11</v>
      </c>
      <c r="G120" s="336">
        <v>0</v>
      </c>
      <c r="H120" s="336">
        <v>0</v>
      </c>
      <c r="I120" s="336">
        <v>0</v>
      </c>
      <c r="J120" s="336">
        <v>0</v>
      </c>
      <c r="K120" s="336">
        <v>0</v>
      </c>
      <c r="L120" s="337">
        <v>0</v>
      </c>
      <c r="M120" s="337">
        <v>120</v>
      </c>
      <c r="N120" s="337">
        <f t="shared" si="3"/>
        <v>120</v>
      </c>
      <c r="O120" s="337">
        <v>0</v>
      </c>
      <c r="P120" s="337">
        <v>0</v>
      </c>
      <c r="Q120" s="337">
        <v>0</v>
      </c>
      <c r="R120" s="337">
        <v>0</v>
      </c>
      <c r="S120" s="337">
        <v>0</v>
      </c>
      <c r="T120" s="337">
        <v>0</v>
      </c>
      <c r="U120" s="337">
        <f t="shared" si="7"/>
        <v>120</v>
      </c>
    </row>
    <row r="121" spans="1:21" s="7" customFormat="1" ht="45.75" hidden="1" customHeight="1" outlineLevel="1" x14ac:dyDescent="0.2">
      <c r="A121" s="33"/>
      <c r="B121" s="446"/>
      <c r="C121" s="338" t="s">
        <v>195</v>
      </c>
      <c r="D121" s="335" t="s">
        <v>59</v>
      </c>
      <c r="E121" s="474"/>
      <c r="F121" s="372" t="s">
        <v>11</v>
      </c>
      <c r="G121" s="336">
        <v>0</v>
      </c>
      <c r="H121" s="336">
        <v>0</v>
      </c>
      <c r="I121" s="336">
        <v>0</v>
      </c>
      <c r="J121" s="336">
        <v>0</v>
      </c>
      <c r="K121" s="336">
        <v>0</v>
      </c>
      <c r="L121" s="337">
        <v>0</v>
      </c>
      <c r="M121" s="337">
        <v>135</v>
      </c>
      <c r="N121" s="337">
        <f t="shared" si="3"/>
        <v>135</v>
      </c>
      <c r="O121" s="337">
        <v>0</v>
      </c>
      <c r="P121" s="337">
        <v>0</v>
      </c>
      <c r="Q121" s="337">
        <v>0</v>
      </c>
      <c r="R121" s="337">
        <v>0</v>
      </c>
      <c r="S121" s="337">
        <v>0</v>
      </c>
      <c r="T121" s="337">
        <v>0</v>
      </c>
      <c r="U121" s="337">
        <f t="shared" si="7"/>
        <v>135</v>
      </c>
    </row>
    <row r="122" spans="1:21" s="7" customFormat="1" ht="48" hidden="1" customHeight="1" outlineLevel="1" x14ac:dyDescent="0.2">
      <c r="A122" s="33"/>
      <c r="B122" s="446"/>
      <c r="C122" s="338" t="s">
        <v>196</v>
      </c>
      <c r="D122" s="340" t="s">
        <v>59</v>
      </c>
      <c r="E122" s="474"/>
      <c r="F122" s="372" t="s">
        <v>11</v>
      </c>
      <c r="G122" s="336">
        <v>0</v>
      </c>
      <c r="H122" s="336">
        <v>0</v>
      </c>
      <c r="I122" s="336">
        <v>0</v>
      </c>
      <c r="J122" s="336">
        <v>0</v>
      </c>
      <c r="K122" s="336">
        <v>0</v>
      </c>
      <c r="L122" s="337">
        <v>0</v>
      </c>
      <c r="M122" s="337">
        <v>150</v>
      </c>
      <c r="N122" s="337">
        <f t="shared" si="3"/>
        <v>150</v>
      </c>
      <c r="O122" s="337">
        <v>0</v>
      </c>
      <c r="P122" s="337">
        <v>0</v>
      </c>
      <c r="Q122" s="337">
        <v>0</v>
      </c>
      <c r="R122" s="337">
        <v>0</v>
      </c>
      <c r="S122" s="337">
        <v>0</v>
      </c>
      <c r="T122" s="337">
        <v>0</v>
      </c>
      <c r="U122" s="337">
        <f t="shared" si="7"/>
        <v>150</v>
      </c>
    </row>
    <row r="123" spans="1:21" s="7" customFormat="1" ht="46.5" hidden="1" customHeight="1" outlineLevel="1" x14ac:dyDescent="0.2">
      <c r="A123" s="33"/>
      <c r="B123" s="446"/>
      <c r="C123" s="342" t="s">
        <v>106</v>
      </c>
      <c r="D123" s="341" t="s">
        <v>59</v>
      </c>
      <c r="E123" s="474"/>
      <c r="F123" s="372" t="s">
        <v>11</v>
      </c>
      <c r="G123" s="336">
        <v>0</v>
      </c>
      <c r="H123" s="336">
        <v>0</v>
      </c>
      <c r="I123" s="336">
        <v>0</v>
      </c>
      <c r="J123" s="336">
        <v>0</v>
      </c>
      <c r="K123" s="336">
        <v>0</v>
      </c>
      <c r="L123" s="337">
        <v>0</v>
      </c>
      <c r="M123" s="337">
        <v>320</v>
      </c>
      <c r="N123" s="337">
        <f t="shared" si="3"/>
        <v>320</v>
      </c>
      <c r="O123" s="337">
        <v>0</v>
      </c>
      <c r="P123" s="337">
        <v>0</v>
      </c>
      <c r="Q123" s="337">
        <v>0</v>
      </c>
      <c r="R123" s="337">
        <v>0</v>
      </c>
      <c r="S123" s="337">
        <v>0</v>
      </c>
      <c r="T123" s="337">
        <v>0</v>
      </c>
      <c r="U123" s="337">
        <f t="shared" si="7"/>
        <v>320</v>
      </c>
    </row>
    <row r="124" spans="1:21" s="7" customFormat="1" ht="56.25" hidden="1" customHeight="1" outlineLevel="1" x14ac:dyDescent="0.2">
      <c r="A124" s="33"/>
      <c r="B124" s="446"/>
      <c r="C124" s="343" t="s">
        <v>107</v>
      </c>
      <c r="D124" s="339" t="s">
        <v>59</v>
      </c>
      <c r="E124" s="474"/>
      <c r="F124" s="372" t="s">
        <v>11</v>
      </c>
      <c r="G124" s="336">
        <v>0</v>
      </c>
      <c r="H124" s="336">
        <v>0</v>
      </c>
      <c r="I124" s="336">
        <v>0</v>
      </c>
      <c r="J124" s="336">
        <v>0</v>
      </c>
      <c r="K124" s="336">
        <v>0</v>
      </c>
      <c r="L124" s="337">
        <v>500</v>
      </c>
      <c r="M124" s="337">
        <v>0</v>
      </c>
      <c r="N124" s="337">
        <f t="shared" si="3"/>
        <v>500</v>
      </c>
      <c r="O124" s="337">
        <v>0</v>
      </c>
      <c r="P124" s="337">
        <v>0</v>
      </c>
      <c r="Q124" s="337">
        <v>0</v>
      </c>
      <c r="R124" s="337">
        <v>0</v>
      </c>
      <c r="S124" s="337">
        <v>0</v>
      </c>
      <c r="T124" s="337">
        <v>0</v>
      </c>
      <c r="U124" s="337">
        <f t="shared" si="7"/>
        <v>500</v>
      </c>
    </row>
    <row r="125" spans="1:21" s="7" customFormat="1" ht="50.25" hidden="1" customHeight="1" outlineLevel="1" x14ac:dyDescent="0.2">
      <c r="A125" s="33"/>
      <c r="B125" s="446"/>
      <c r="C125" s="338" t="s">
        <v>108</v>
      </c>
      <c r="D125" s="340" t="s">
        <v>59</v>
      </c>
      <c r="E125" s="474"/>
      <c r="F125" s="372" t="s">
        <v>11</v>
      </c>
      <c r="G125" s="336">
        <v>0</v>
      </c>
      <c r="H125" s="336">
        <v>0</v>
      </c>
      <c r="I125" s="336">
        <v>0</v>
      </c>
      <c r="J125" s="336">
        <v>0</v>
      </c>
      <c r="K125" s="336">
        <v>0</v>
      </c>
      <c r="L125" s="337">
        <v>0</v>
      </c>
      <c r="M125" s="337">
        <v>500</v>
      </c>
      <c r="N125" s="337">
        <f t="shared" si="3"/>
        <v>500</v>
      </c>
      <c r="O125" s="337">
        <v>0</v>
      </c>
      <c r="P125" s="337">
        <v>0</v>
      </c>
      <c r="Q125" s="337">
        <v>0</v>
      </c>
      <c r="R125" s="337">
        <v>0</v>
      </c>
      <c r="S125" s="337">
        <v>0</v>
      </c>
      <c r="T125" s="337">
        <v>0</v>
      </c>
      <c r="U125" s="337">
        <f t="shared" si="7"/>
        <v>500</v>
      </c>
    </row>
    <row r="126" spans="1:21" s="7" customFormat="1" ht="48" hidden="1" customHeight="1" outlineLevel="1" x14ac:dyDescent="0.2">
      <c r="A126" s="76"/>
      <c r="B126" s="446"/>
      <c r="C126" s="338" t="s">
        <v>109</v>
      </c>
      <c r="D126" s="340" t="s">
        <v>59</v>
      </c>
      <c r="E126" s="474"/>
      <c r="F126" s="372" t="s">
        <v>11</v>
      </c>
      <c r="G126" s="336">
        <v>0</v>
      </c>
      <c r="H126" s="336">
        <v>0</v>
      </c>
      <c r="I126" s="336">
        <v>0</v>
      </c>
      <c r="J126" s="336">
        <v>0</v>
      </c>
      <c r="K126" s="336">
        <v>0</v>
      </c>
      <c r="L126" s="337">
        <v>410</v>
      </c>
      <c r="M126" s="337">
        <v>0</v>
      </c>
      <c r="N126" s="337">
        <f t="shared" si="3"/>
        <v>410</v>
      </c>
      <c r="O126" s="337">
        <v>0</v>
      </c>
      <c r="P126" s="337">
        <v>0</v>
      </c>
      <c r="Q126" s="337">
        <v>0</v>
      </c>
      <c r="R126" s="337">
        <v>0</v>
      </c>
      <c r="S126" s="337">
        <v>0</v>
      </c>
      <c r="T126" s="337">
        <v>0</v>
      </c>
      <c r="U126" s="337">
        <f t="shared" si="7"/>
        <v>410</v>
      </c>
    </row>
    <row r="127" spans="1:21" s="7" customFormat="1" ht="39.75" hidden="1" customHeight="1" outlineLevel="1" x14ac:dyDescent="0.2">
      <c r="A127" s="33"/>
      <c r="B127" s="446"/>
      <c r="C127" s="338" t="s">
        <v>110</v>
      </c>
      <c r="D127" s="340" t="s">
        <v>59</v>
      </c>
      <c r="E127" s="474"/>
      <c r="F127" s="372" t="s">
        <v>11</v>
      </c>
      <c r="G127" s="336">
        <v>0</v>
      </c>
      <c r="H127" s="336">
        <v>0</v>
      </c>
      <c r="I127" s="336">
        <v>0</v>
      </c>
      <c r="J127" s="336">
        <v>0</v>
      </c>
      <c r="K127" s="336">
        <v>0</v>
      </c>
      <c r="L127" s="337">
        <v>0</v>
      </c>
      <c r="M127" s="337">
        <v>0</v>
      </c>
      <c r="N127" s="337">
        <f t="shared" si="3"/>
        <v>0</v>
      </c>
      <c r="O127" s="337">
        <v>15000</v>
      </c>
      <c r="P127" s="337">
        <v>0</v>
      </c>
      <c r="Q127" s="337">
        <v>0</v>
      </c>
      <c r="R127" s="337">
        <v>0</v>
      </c>
      <c r="S127" s="337">
        <v>0</v>
      </c>
      <c r="T127" s="337">
        <v>0</v>
      </c>
      <c r="U127" s="337">
        <f t="shared" si="7"/>
        <v>15000</v>
      </c>
    </row>
    <row r="128" spans="1:21" s="7" customFormat="1" ht="47.25" hidden="1" customHeight="1" outlineLevel="1" x14ac:dyDescent="0.2">
      <c r="A128" s="33"/>
      <c r="B128" s="446"/>
      <c r="C128" s="338" t="s">
        <v>111</v>
      </c>
      <c r="D128" s="340" t="s">
        <v>59</v>
      </c>
      <c r="E128" s="474"/>
      <c r="F128" s="372" t="s">
        <v>11</v>
      </c>
      <c r="G128" s="336">
        <v>0</v>
      </c>
      <c r="H128" s="336">
        <v>0</v>
      </c>
      <c r="I128" s="336">
        <v>0</v>
      </c>
      <c r="J128" s="336">
        <v>0</v>
      </c>
      <c r="K128" s="336">
        <v>0</v>
      </c>
      <c r="L128" s="337">
        <v>0</v>
      </c>
      <c r="M128" s="337">
        <v>0</v>
      </c>
      <c r="N128" s="337">
        <f t="shared" si="3"/>
        <v>0</v>
      </c>
      <c r="O128" s="337">
        <v>3400</v>
      </c>
      <c r="P128" s="337">
        <v>0</v>
      </c>
      <c r="Q128" s="337">
        <v>0</v>
      </c>
      <c r="R128" s="337">
        <v>0</v>
      </c>
      <c r="S128" s="337">
        <v>0</v>
      </c>
      <c r="T128" s="337">
        <v>0</v>
      </c>
      <c r="U128" s="337">
        <f t="shared" si="7"/>
        <v>3400</v>
      </c>
    </row>
    <row r="129" spans="1:21" s="7" customFormat="1" ht="45.75" hidden="1" customHeight="1" outlineLevel="1" x14ac:dyDescent="0.2">
      <c r="A129" s="33"/>
      <c r="B129" s="446"/>
      <c r="C129" s="338" t="s">
        <v>112</v>
      </c>
      <c r="D129" s="340" t="s">
        <v>59</v>
      </c>
      <c r="E129" s="474"/>
      <c r="F129" s="372" t="s">
        <v>11</v>
      </c>
      <c r="G129" s="336">
        <v>0</v>
      </c>
      <c r="H129" s="336">
        <v>0</v>
      </c>
      <c r="I129" s="336">
        <v>0</v>
      </c>
      <c r="J129" s="336">
        <v>0</v>
      </c>
      <c r="K129" s="336">
        <v>0</v>
      </c>
      <c r="L129" s="337">
        <v>0</v>
      </c>
      <c r="M129" s="337">
        <v>0</v>
      </c>
      <c r="N129" s="337">
        <f t="shared" si="3"/>
        <v>0</v>
      </c>
      <c r="O129" s="337">
        <v>1200</v>
      </c>
      <c r="P129" s="337">
        <v>0</v>
      </c>
      <c r="Q129" s="337">
        <v>0</v>
      </c>
      <c r="R129" s="337">
        <v>0</v>
      </c>
      <c r="S129" s="337">
        <v>0</v>
      </c>
      <c r="T129" s="337">
        <v>0</v>
      </c>
      <c r="U129" s="337">
        <f t="shared" si="7"/>
        <v>1200</v>
      </c>
    </row>
    <row r="130" spans="1:21" s="7" customFormat="1" ht="48.75" hidden="1" customHeight="1" outlineLevel="1" x14ac:dyDescent="0.2">
      <c r="A130" s="33"/>
      <c r="B130" s="446"/>
      <c r="C130" s="338" t="s">
        <v>113</v>
      </c>
      <c r="D130" s="340" t="s">
        <v>59</v>
      </c>
      <c r="E130" s="474"/>
      <c r="F130" s="372" t="s">
        <v>11</v>
      </c>
      <c r="G130" s="336">
        <v>0</v>
      </c>
      <c r="H130" s="336">
        <v>0</v>
      </c>
      <c r="I130" s="336">
        <v>0</v>
      </c>
      <c r="J130" s="336">
        <v>0</v>
      </c>
      <c r="K130" s="336">
        <v>0</v>
      </c>
      <c r="L130" s="337">
        <v>0</v>
      </c>
      <c r="M130" s="337">
        <v>1000</v>
      </c>
      <c r="N130" s="337">
        <f t="shared" si="3"/>
        <v>1000</v>
      </c>
      <c r="O130" s="337">
        <v>0</v>
      </c>
      <c r="P130" s="337">
        <v>0</v>
      </c>
      <c r="Q130" s="337">
        <v>0</v>
      </c>
      <c r="R130" s="337">
        <v>0</v>
      </c>
      <c r="S130" s="337">
        <v>0</v>
      </c>
      <c r="T130" s="337">
        <v>0</v>
      </c>
      <c r="U130" s="337">
        <f t="shared" si="7"/>
        <v>1000</v>
      </c>
    </row>
    <row r="131" spans="1:21" s="7" customFormat="1" ht="44.25" hidden="1" customHeight="1" outlineLevel="1" x14ac:dyDescent="0.2">
      <c r="A131" s="33"/>
      <c r="B131" s="446"/>
      <c r="C131" s="338" t="s">
        <v>114</v>
      </c>
      <c r="D131" s="340" t="s">
        <v>59</v>
      </c>
      <c r="E131" s="474"/>
      <c r="F131" s="372" t="s">
        <v>11</v>
      </c>
      <c r="G131" s="336">
        <v>0</v>
      </c>
      <c r="H131" s="336">
        <v>0</v>
      </c>
      <c r="I131" s="336">
        <v>0</v>
      </c>
      <c r="J131" s="336">
        <v>0</v>
      </c>
      <c r="K131" s="336">
        <v>0</v>
      </c>
      <c r="L131" s="337">
        <v>0</v>
      </c>
      <c r="M131" s="337">
        <v>0</v>
      </c>
      <c r="N131" s="337">
        <f t="shared" si="3"/>
        <v>0</v>
      </c>
      <c r="O131" s="337">
        <v>300</v>
      </c>
      <c r="P131" s="337">
        <v>0</v>
      </c>
      <c r="Q131" s="337">
        <v>0</v>
      </c>
      <c r="R131" s="337">
        <v>0</v>
      </c>
      <c r="S131" s="337">
        <v>0</v>
      </c>
      <c r="T131" s="337">
        <v>0</v>
      </c>
      <c r="U131" s="337">
        <f t="shared" si="7"/>
        <v>300</v>
      </c>
    </row>
    <row r="132" spans="1:21" s="7" customFormat="1" ht="48.75" hidden="1" customHeight="1" outlineLevel="1" x14ac:dyDescent="0.2">
      <c r="A132" s="33"/>
      <c r="B132" s="446"/>
      <c r="C132" s="338" t="s">
        <v>115</v>
      </c>
      <c r="D132" s="340" t="s">
        <v>59</v>
      </c>
      <c r="E132" s="474"/>
      <c r="F132" s="372" t="s">
        <v>11</v>
      </c>
      <c r="G132" s="336">
        <v>0</v>
      </c>
      <c r="H132" s="336">
        <v>0</v>
      </c>
      <c r="I132" s="336">
        <v>0</v>
      </c>
      <c r="J132" s="336">
        <v>0</v>
      </c>
      <c r="K132" s="336">
        <v>0</v>
      </c>
      <c r="L132" s="337">
        <v>0</v>
      </c>
      <c r="M132" s="337">
        <v>0</v>
      </c>
      <c r="N132" s="337">
        <f t="shared" si="3"/>
        <v>0</v>
      </c>
      <c r="O132" s="337">
        <v>350</v>
      </c>
      <c r="P132" s="337">
        <v>0</v>
      </c>
      <c r="Q132" s="337">
        <v>0</v>
      </c>
      <c r="R132" s="337">
        <v>0</v>
      </c>
      <c r="S132" s="337">
        <v>0</v>
      </c>
      <c r="T132" s="337">
        <v>0</v>
      </c>
      <c r="U132" s="337">
        <f t="shared" si="7"/>
        <v>350</v>
      </c>
    </row>
    <row r="133" spans="1:21" s="7" customFormat="1" ht="43.5" hidden="1" customHeight="1" outlineLevel="1" x14ac:dyDescent="0.2">
      <c r="A133" s="33"/>
      <c r="B133" s="446"/>
      <c r="C133" s="338" t="s">
        <v>116</v>
      </c>
      <c r="D133" s="341" t="s">
        <v>59</v>
      </c>
      <c r="E133" s="474"/>
      <c r="F133" s="372" t="s">
        <v>11</v>
      </c>
      <c r="G133" s="336">
        <v>0</v>
      </c>
      <c r="H133" s="336">
        <v>0</v>
      </c>
      <c r="I133" s="336">
        <v>0</v>
      </c>
      <c r="J133" s="336">
        <v>0</v>
      </c>
      <c r="K133" s="336">
        <v>0</v>
      </c>
      <c r="L133" s="337">
        <v>0</v>
      </c>
      <c r="M133" s="337">
        <v>0</v>
      </c>
      <c r="N133" s="337">
        <f t="shared" si="3"/>
        <v>0</v>
      </c>
      <c r="O133" s="337">
        <v>400</v>
      </c>
      <c r="P133" s="337">
        <v>0</v>
      </c>
      <c r="Q133" s="337">
        <v>0</v>
      </c>
      <c r="R133" s="337">
        <v>0</v>
      </c>
      <c r="S133" s="337">
        <v>0</v>
      </c>
      <c r="T133" s="337">
        <v>0</v>
      </c>
      <c r="U133" s="337">
        <f t="shared" si="7"/>
        <v>400</v>
      </c>
    </row>
    <row r="134" spans="1:21" s="7" customFormat="1" ht="45.75" hidden="1" customHeight="1" outlineLevel="1" x14ac:dyDescent="0.2">
      <c r="A134" s="33"/>
      <c r="B134" s="446"/>
      <c r="C134" s="338" t="s">
        <v>117</v>
      </c>
      <c r="D134" s="340" t="s">
        <v>59</v>
      </c>
      <c r="E134" s="474"/>
      <c r="F134" s="372" t="s">
        <v>11</v>
      </c>
      <c r="G134" s="336">
        <v>0</v>
      </c>
      <c r="H134" s="336">
        <v>0</v>
      </c>
      <c r="I134" s="336">
        <v>0</v>
      </c>
      <c r="J134" s="336">
        <v>0</v>
      </c>
      <c r="K134" s="336">
        <v>0</v>
      </c>
      <c r="L134" s="337">
        <v>0</v>
      </c>
      <c r="M134" s="337">
        <f>5000-5000</f>
        <v>0</v>
      </c>
      <c r="N134" s="337">
        <f t="shared" si="3"/>
        <v>0</v>
      </c>
      <c r="O134" s="337">
        <v>0</v>
      </c>
      <c r="P134" s="337">
        <v>0</v>
      </c>
      <c r="Q134" s="337">
        <v>0</v>
      </c>
      <c r="R134" s="337">
        <v>0</v>
      </c>
      <c r="S134" s="337">
        <v>0</v>
      </c>
      <c r="T134" s="337">
        <v>0</v>
      </c>
      <c r="U134" s="337">
        <f t="shared" si="7"/>
        <v>0</v>
      </c>
    </row>
    <row r="135" spans="1:21" s="7" customFormat="1" ht="39.75" hidden="1" customHeight="1" outlineLevel="1" x14ac:dyDescent="0.2">
      <c r="A135" s="33"/>
      <c r="B135" s="446"/>
      <c r="C135" s="338" t="s">
        <v>118</v>
      </c>
      <c r="D135" s="340" t="s">
        <v>59</v>
      </c>
      <c r="E135" s="474"/>
      <c r="F135" s="372" t="s">
        <v>11</v>
      </c>
      <c r="G135" s="336">
        <v>0</v>
      </c>
      <c r="H135" s="336">
        <v>0</v>
      </c>
      <c r="I135" s="336">
        <v>0</v>
      </c>
      <c r="J135" s="336">
        <v>0</v>
      </c>
      <c r="K135" s="336">
        <v>0</v>
      </c>
      <c r="L135" s="337">
        <v>0</v>
      </c>
      <c r="M135" s="337">
        <v>0</v>
      </c>
      <c r="N135" s="337">
        <f t="shared" si="3"/>
        <v>0</v>
      </c>
      <c r="O135" s="337">
        <v>12000</v>
      </c>
      <c r="P135" s="337">
        <v>0</v>
      </c>
      <c r="Q135" s="337">
        <v>0</v>
      </c>
      <c r="R135" s="337">
        <v>0</v>
      </c>
      <c r="S135" s="337">
        <v>0</v>
      </c>
      <c r="T135" s="337">
        <v>0</v>
      </c>
      <c r="U135" s="337">
        <f t="shared" si="7"/>
        <v>12000</v>
      </c>
    </row>
    <row r="136" spans="1:21" s="7" customFormat="1" ht="50.25" hidden="1" customHeight="1" outlineLevel="1" x14ac:dyDescent="0.2">
      <c r="A136" s="33"/>
      <c r="B136" s="446"/>
      <c r="C136" s="338" t="s">
        <v>119</v>
      </c>
      <c r="D136" s="340" t="s">
        <v>59</v>
      </c>
      <c r="E136" s="474"/>
      <c r="F136" s="372" t="s">
        <v>11</v>
      </c>
      <c r="G136" s="336">
        <v>0</v>
      </c>
      <c r="H136" s="336">
        <v>0</v>
      </c>
      <c r="I136" s="336">
        <v>0</v>
      </c>
      <c r="J136" s="336">
        <v>0</v>
      </c>
      <c r="K136" s="336">
        <v>0</v>
      </c>
      <c r="L136" s="337">
        <v>0</v>
      </c>
      <c r="M136" s="337">
        <f>18000-488.9+99.5</f>
        <v>17610.599999999999</v>
      </c>
      <c r="N136" s="337">
        <f t="shared" si="3"/>
        <v>17610.599999999999</v>
      </c>
      <c r="O136" s="337">
        <v>0</v>
      </c>
      <c r="P136" s="337">
        <v>0</v>
      </c>
      <c r="Q136" s="337">
        <v>0</v>
      </c>
      <c r="R136" s="337">
        <v>0</v>
      </c>
      <c r="S136" s="337">
        <v>0</v>
      </c>
      <c r="T136" s="337">
        <v>0</v>
      </c>
      <c r="U136" s="337">
        <f t="shared" si="7"/>
        <v>17610.599999999999</v>
      </c>
    </row>
    <row r="137" spans="1:21" s="7" customFormat="1" ht="48" hidden="1" customHeight="1" outlineLevel="1" x14ac:dyDescent="0.2">
      <c r="A137" s="33"/>
      <c r="B137" s="446"/>
      <c r="C137" s="338" t="s">
        <v>120</v>
      </c>
      <c r="D137" s="340" t="s">
        <v>59</v>
      </c>
      <c r="E137" s="474"/>
      <c r="F137" s="372" t="s">
        <v>11</v>
      </c>
      <c r="G137" s="336">
        <v>0</v>
      </c>
      <c r="H137" s="336">
        <v>0</v>
      </c>
      <c r="I137" s="336">
        <v>0</v>
      </c>
      <c r="J137" s="336">
        <v>0</v>
      </c>
      <c r="K137" s="336">
        <v>0</v>
      </c>
      <c r="L137" s="337">
        <v>0</v>
      </c>
      <c r="M137" s="337">
        <v>0</v>
      </c>
      <c r="N137" s="337">
        <f t="shared" si="3"/>
        <v>0</v>
      </c>
      <c r="O137" s="337">
        <v>18000</v>
      </c>
      <c r="P137" s="337">
        <v>0</v>
      </c>
      <c r="Q137" s="337">
        <v>0</v>
      </c>
      <c r="R137" s="337">
        <v>0</v>
      </c>
      <c r="S137" s="337">
        <v>0</v>
      </c>
      <c r="T137" s="337">
        <v>0</v>
      </c>
      <c r="U137" s="337">
        <f t="shared" si="7"/>
        <v>18000</v>
      </c>
    </row>
    <row r="138" spans="1:21" s="7" customFormat="1" ht="45.75" hidden="1" customHeight="1" outlineLevel="1" x14ac:dyDescent="0.2">
      <c r="A138" s="33"/>
      <c r="B138" s="446"/>
      <c r="C138" s="338" t="s">
        <v>197</v>
      </c>
      <c r="D138" s="340" t="s">
        <v>59</v>
      </c>
      <c r="E138" s="474"/>
      <c r="F138" s="372" t="s">
        <v>11</v>
      </c>
      <c r="G138" s="336">
        <v>0</v>
      </c>
      <c r="H138" s="336">
        <v>0</v>
      </c>
      <c r="I138" s="336">
        <v>0</v>
      </c>
      <c r="J138" s="336">
        <v>0</v>
      </c>
      <c r="K138" s="336">
        <v>0</v>
      </c>
      <c r="L138" s="337">
        <v>0</v>
      </c>
      <c r="M138" s="337">
        <v>120</v>
      </c>
      <c r="N138" s="337">
        <f t="shared" si="3"/>
        <v>120</v>
      </c>
      <c r="O138" s="337">
        <v>0</v>
      </c>
      <c r="P138" s="337">
        <v>0</v>
      </c>
      <c r="Q138" s="337">
        <v>0</v>
      </c>
      <c r="R138" s="337">
        <v>0</v>
      </c>
      <c r="S138" s="337">
        <v>0</v>
      </c>
      <c r="T138" s="337">
        <v>0</v>
      </c>
      <c r="U138" s="337">
        <f t="shared" si="7"/>
        <v>120</v>
      </c>
    </row>
    <row r="139" spans="1:21" s="7" customFormat="1" ht="51" hidden="1" customHeight="1" outlineLevel="1" x14ac:dyDescent="0.2">
      <c r="A139" s="33"/>
      <c r="B139" s="446"/>
      <c r="C139" s="338" t="s">
        <v>186</v>
      </c>
      <c r="D139" s="344" t="s">
        <v>59</v>
      </c>
      <c r="E139" s="474"/>
      <c r="F139" s="372" t="s">
        <v>11</v>
      </c>
      <c r="G139" s="336">
        <v>0</v>
      </c>
      <c r="H139" s="336">
        <v>0</v>
      </c>
      <c r="I139" s="336">
        <v>0</v>
      </c>
      <c r="J139" s="336">
        <v>0</v>
      </c>
      <c r="K139" s="336">
        <v>0</v>
      </c>
      <c r="L139" s="337">
        <v>0</v>
      </c>
      <c r="M139" s="337">
        <v>135</v>
      </c>
      <c r="N139" s="337">
        <f t="shared" si="3"/>
        <v>135</v>
      </c>
      <c r="O139" s="337">
        <v>0</v>
      </c>
      <c r="P139" s="337">
        <v>0</v>
      </c>
      <c r="Q139" s="337">
        <v>0</v>
      </c>
      <c r="R139" s="337">
        <v>0</v>
      </c>
      <c r="S139" s="337">
        <v>0</v>
      </c>
      <c r="T139" s="337">
        <v>0</v>
      </c>
      <c r="U139" s="337">
        <f t="shared" si="7"/>
        <v>135</v>
      </c>
    </row>
    <row r="140" spans="1:21" s="7" customFormat="1" ht="45.75" hidden="1" customHeight="1" outlineLevel="1" x14ac:dyDescent="0.2">
      <c r="A140" s="33"/>
      <c r="B140" s="446"/>
      <c r="C140" s="338" t="s">
        <v>121</v>
      </c>
      <c r="D140" s="344" t="s">
        <v>59</v>
      </c>
      <c r="E140" s="474"/>
      <c r="F140" s="372" t="s">
        <v>11</v>
      </c>
      <c r="G140" s="336">
        <v>0</v>
      </c>
      <c r="H140" s="336">
        <v>0</v>
      </c>
      <c r="I140" s="336">
        <v>0</v>
      </c>
      <c r="J140" s="336">
        <v>0</v>
      </c>
      <c r="K140" s="336">
        <v>0</v>
      </c>
      <c r="L140" s="337">
        <v>0</v>
      </c>
      <c r="M140" s="337">
        <v>0</v>
      </c>
      <c r="N140" s="337">
        <f t="shared" si="3"/>
        <v>0</v>
      </c>
      <c r="O140" s="337">
        <v>300</v>
      </c>
      <c r="P140" s="337">
        <v>0</v>
      </c>
      <c r="Q140" s="337">
        <v>0</v>
      </c>
      <c r="R140" s="337">
        <v>0</v>
      </c>
      <c r="S140" s="337">
        <v>0</v>
      </c>
      <c r="T140" s="337">
        <v>0</v>
      </c>
      <c r="U140" s="337">
        <f t="shared" si="7"/>
        <v>300</v>
      </c>
    </row>
    <row r="141" spans="1:21" s="7" customFormat="1" ht="48.75" hidden="1" customHeight="1" outlineLevel="1" x14ac:dyDescent="0.2">
      <c r="A141" s="33"/>
      <c r="B141" s="446"/>
      <c r="C141" s="338" t="s">
        <v>198</v>
      </c>
      <c r="D141" s="340" t="s">
        <v>59</v>
      </c>
      <c r="E141" s="474"/>
      <c r="F141" s="372" t="s">
        <v>11</v>
      </c>
      <c r="G141" s="336">
        <v>0</v>
      </c>
      <c r="H141" s="336">
        <v>0</v>
      </c>
      <c r="I141" s="336">
        <v>0</v>
      </c>
      <c r="J141" s="336">
        <v>0</v>
      </c>
      <c r="K141" s="336">
        <v>0</v>
      </c>
      <c r="L141" s="337">
        <v>0</v>
      </c>
      <c r="M141" s="337">
        <v>0</v>
      </c>
      <c r="N141" s="337">
        <f t="shared" si="3"/>
        <v>0</v>
      </c>
      <c r="O141" s="337">
        <v>350</v>
      </c>
      <c r="P141" s="337">
        <v>0</v>
      </c>
      <c r="Q141" s="337">
        <v>0</v>
      </c>
      <c r="R141" s="337">
        <v>0</v>
      </c>
      <c r="S141" s="337">
        <v>0</v>
      </c>
      <c r="T141" s="337">
        <v>0</v>
      </c>
      <c r="U141" s="337">
        <f t="shared" si="7"/>
        <v>350</v>
      </c>
    </row>
    <row r="142" spans="1:21" s="7" customFormat="1" ht="43.5" hidden="1" customHeight="1" outlineLevel="1" x14ac:dyDescent="0.2">
      <c r="A142" s="33"/>
      <c r="B142" s="446"/>
      <c r="C142" s="342" t="s">
        <v>199</v>
      </c>
      <c r="D142" s="341" t="s">
        <v>59</v>
      </c>
      <c r="E142" s="474"/>
      <c r="F142" s="372" t="s">
        <v>11</v>
      </c>
      <c r="G142" s="336">
        <v>0</v>
      </c>
      <c r="H142" s="336">
        <v>0</v>
      </c>
      <c r="I142" s="336">
        <v>0</v>
      </c>
      <c r="J142" s="336">
        <v>0</v>
      </c>
      <c r="K142" s="336">
        <v>0</v>
      </c>
      <c r="L142" s="337">
        <f>700-700</f>
        <v>0</v>
      </c>
      <c r="M142" s="337">
        <f>880</f>
        <v>880</v>
      </c>
      <c r="N142" s="337">
        <f t="shared" si="3"/>
        <v>880</v>
      </c>
      <c r="O142" s="337">
        <v>0</v>
      </c>
      <c r="P142" s="337">
        <v>0</v>
      </c>
      <c r="Q142" s="337">
        <v>0</v>
      </c>
      <c r="R142" s="337">
        <v>0</v>
      </c>
      <c r="S142" s="337">
        <v>0</v>
      </c>
      <c r="T142" s="337">
        <v>0</v>
      </c>
      <c r="U142" s="337">
        <f t="shared" si="7"/>
        <v>880</v>
      </c>
    </row>
    <row r="143" spans="1:21" s="7" customFormat="1" ht="53.25" hidden="1" customHeight="1" outlineLevel="1" x14ac:dyDescent="0.2">
      <c r="A143" s="33"/>
      <c r="B143" s="446"/>
      <c r="C143" s="343" t="s">
        <v>200</v>
      </c>
      <c r="D143" s="339" t="s">
        <v>59</v>
      </c>
      <c r="E143" s="474"/>
      <c r="F143" s="372" t="s">
        <v>11</v>
      </c>
      <c r="G143" s="336">
        <v>0</v>
      </c>
      <c r="H143" s="336">
        <v>0</v>
      </c>
      <c r="I143" s="336">
        <v>0</v>
      </c>
      <c r="J143" s="336">
        <v>0</v>
      </c>
      <c r="K143" s="336">
        <v>0</v>
      </c>
      <c r="L143" s="337">
        <v>0</v>
      </c>
      <c r="M143" s="337">
        <v>1750</v>
      </c>
      <c r="N143" s="337">
        <f t="shared" si="3"/>
        <v>1750</v>
      </c>
      <c r="O143" s="337">
        <v>2200</v>
      </c>
      <c r="P143" s="337">
        <v>0</v>
      </c>
      <c r="Q143" s="337">
        <v>0</v>
      </c>
      <c r="R143" s="337">
        <v>0</v>
      </c>
      <c r="S143" s="337">
        <v>0</v>
      </c>
      <c r="T143" s="337">
        <v>0</v>
      </c>
      <c r="U143" s="337">
        <f t="shared" si="7"/>
        <v>3950</v>
      </c>
    </row>
    <row r="144" spans="1:21" s="7" customFormat="1" ht="48.75" hidden="1" customHeight="1" outlineLevel="1" x14ac:dyDescent="0.2">
      <c r="A144" s="33"/>
      <c r="B144" s="446"/>
      <c r="C144" s="338" t="s">
        <v>122</v>
      </c>
      <c r="D144" s="340" t="s">
        <v>59</v>
      </c>
      <c r="E144" s="474"/>
      <c r="F144" s="372" t="s">
        <v>11</v>
      </c>
      <c r="G144" s="336">
        <v>0</v>
      </c>
      <c r="H144" s="336">
        <v>0</v>
      </c>
      <c r="I144" s="336">
        <v>0</v>
      </c>
      <c r="J144" s="336">
        <v>0</v>
      </c>
      <c r="K144" s="336">
        <v>0</v>
      </c>
      <c r="L144" s="337">
        <v>500</v>
      </c>
      <c r="M144" s="337">
        <v>0</v>
      </c>
      <c r="N144" s="337">
        <f t="shared" si="3"/>
        <v>500</v>
      </c>
      <c r="O144" s="337">
        <v>0</v>
      </c>
      <c r="P144" s="337">
        <v>0</v>
      </c>
      <c r="Q144" s="337">
        <v>0</v>
      </c>
      <c r="R144" s="337">
        <v>0</v>
      </c>
      <c r="S144" s="337">
        <v>0</v>
      </c>
      <c r="T144" s="337">
        <v>0</v>
      </c>
      <c r="U144" s="337">
        <f t="shared" si="7"/>
        <v>500</v>
      </c>
    </row>
    <row r="145" spans="1:21" s="7" customFormat="1" ht="45.75" hidden="1" customHeight="1" outlineLevel="1" x14ac:dyDescent="0.2">
      <c r="A145" s="76"/>
      <c r="B145" s="446"/>
      <c r="C145" s="338" t="s">
        <v>123</v>
      </c>
      <c r="D145" s="340" t="s">
        <v>59</v>
      </c>
      <c r="E145" s="474"/>
      <c r="F145" s="372" t="s">
        <v>11</v>
      </c>
      <c r="G145" s="336">
        <v>0</v>
      </c>
      <c r="H145" s="336">
        <v>0</v>
      </c>
      <c r="I145" s="336">
        <v>0</v>
      </c>
      <c r="J145" s="336">
        <v>0</v>
      </c>
      <c r="K145" s="336">
        <v>0</v>
      </c>
      <c r="L145" s="337">
        <v>0</v>
      </c>
      <c r="M145" s="337">
        <f>2000</f>
        <v>2000</v>
      </c>
      <c r="N145" s="337">
        <f t="shared" si="3"/>
        <v>2000</v>
      </c>
      <c r="O145" s="337">
        <v>0</v>
      </c>
      <c r="P145" s="337">
        <v>0</v>
      </c>
      <c r="Q145" s="337">
        <v>0</v>
      </c>
      <c r="R145" s="337">
        <v>0</v>
      </c>
      <c r="S145" s="337">
        <v>0</v>
      </c>
      <c r="T145" s="337">
        <v>0</v>
      </c>
      <c r="U145" s="337">
        <f t="shared" si="7"/>
        <v>2000</v>
      </c>
    </row>
    <row r="146" spans="1:21" s="7" customFormat="1" ht="49.5" hidden="1" customHeight="1" outlineLevel="1" collapsed="1" x14ac:dyDescent="0.2">
      <c r="A146" s="33"/>
      <c r="B146" s="446"/>
      <c r="C146" s="338" t="s">
        <v>124</v>
      </c>
      <c r="D146" s="340" t="s">
        <v>61</v>
      </c>
      <c r="E146" s="474"/>
      <c r="F146" s="372" t="s">
        <v>11</v>
      </c>
      <c r="G146" s="336">
        <v>0</v>
      </c>
      <c r="H146" s="336">
        <v>0</v>
      </c>
      <c r="I146" s="336">
        <v>0</v>
      </c>
      <c r="J146" s="336">
        <v>0</v>
      </c>
      <c r="K146" s="336">
        <v>0</v>
      </c>
      <c r="L146" s="337">
        <v>20000</v>
      </c>
      <c r="M146" s="337">
        <f>22000+28000</f>
        <v>50000</v>
      </c>
      <c r="N146" s="337">
        <f t="shared" si="3"/>
        <v>70000</v>
      </c>
      <c r="O146" s="337">
        <f>24200+265.6</f>
        <v>24465.599999999999</v>
      </c>
      <c r="P146" s="337">
        <v>33993</v>
      </c>
      <c r="Q146" s="337">
        <f>36372.51</f>
        <v>36372.51</v>
      </c>
      <c r="R146" s="337">
        <f>38482.11558-38482.11558</f>
        <v>0</v>
      </c>
      <c r="S146" s="337">
        <f>40714.07828364-40714.07828364</f>
        <v>0</v>
      </c>
      <c r="T146" s="337">
        <v>43075.494824091133</v>
      </c>
      <c r="U146" s="337">
        <f t="shared" si="7"/>
        <v>207906.60482409113</v>
      </c>
    </row>
    <row r="147" spans="1:21" s="7" customFormat="1" ht="42.75" hidden="1" customHeight="1" outlineLevel="1" x14ac:dyDescent="0.2">
      <c r="A147" s="33"/>
      <c r="B147" s="446"/>
      <c r="C147" s="338" t="s">
        <v>125</v>
      </c>
      <c r="D147" s="340" t="s">
        <v>59</v>
      </c>
      <c r="E147" s="474"/>
      <c r="F147" s="372" t="s">
        <v>11</v>
      </c>
      <c r="G147" s="336">
        <v>0</v>
      </c>
      <c r="H147" s="336">
        <v>0</v>
      </c>
      <c r="I147" s="336">
        <v>0</v>
      </c>
      <c r="J147" s="336">
        <v>0</v>
      </c>
      <c r="K147" s="336">
        <v>0</v>
      </c>
      <c r="L147" s="337">
        <f>4000+349.7-4349.7</f>
        <v>0</v>
      </c>
      <c r="M147" s="337">
        <f>0+4349.7</f>
        <v>4349.7</v>
      </c>
      <c r="N147" s="337">
        <f t="shared" ref="N147:N210" si="8">G147+H147+I147+J147+K147+L147+M147</f>
        <v>4349.7</v>
      </c>
      <c r="O147" s="337">
        <f>2100-2100</f>
        <v>0</v>
      </c>
      <c r="P147" s="337">
        <v>0</v>
      </c>
      <c r="Q147" s="337">
        <v>0</v>
      </c>
      <c r="R147" s="337">
        <v>0</v>
      </c>
      <c r="S147" s="337">
        <v>0</v>
      </c>
      <c r="T147" s="337">
        <v>0</v>
      </c>
      <c r="U147" s="337">
        <f t="shared" si="7"/>
        <v>4349.7</v>
      </c>
    </row>
    <row r="148" spans="1:21" s="7" customFormat="1" ht="43.5" hidden="1" customHeight="1" outlineLevel="1" x14ac:dyDescent="0.2">
      <c r="A148" s="33"/>
      <c r="B148" s="446"/>
      <c r="C148" s="338" t="s">
        <v>126</v>
      </c>
      <c r="D148" s="340" t="s">
        <v>59</v>
      </c>
      <c r="E148" s="474"/>
      <c r="F148" s="372" t="s">
        <v>11</v>
      </c>
      <c r="G148" s="336">
        <v>0</v>
      </c>
      <c r="H148" s="336">
        <v>0</v>
      </c>
      <c r="I148" s="336">
        <v>0</v>
      </c>
      <c r="J148" s="336">
        <v>0</v>
      </c>
      <c r="K148" s="336">
        <v>0</v>
      </c>
      <c r="L148" s="337">
        <v>4500</v>
      </c>
      <c r="M148" s="337">
        <f>5000-5000</f>
        <v>0</v>
      </c>
      <c r="N148" s="337">
        <f t="shared" si="8"/>
        <v>4500</v>
      </c>
      <c r="O148" s="337">
        <v>5500</v>
      </c>
      <c r="P148" s="337">
        <v>0</v>
      </c>
      <c r="Q148" s="337">
        <v>0</v>
      </c>
      <c r="R148" s="337">
        <v>0</v>
      </c>
      <c r="S148" s="337">
        <v>0</v>
      </c>
      <c r="T148" s="337">
        <v>0</v>
      </c>
      <c r="U148" s="337">
        <f t="shared" si="7"/>
        <v>10000</v>
      </c>
    </row>
    <row r="149" spans="1:21" s="7" customFormat="1" ht="45" hidden="1" customHeight="1" outlineLevel="1" x14ac:dyDescent="0.2">
      <c r="A149" s="33"/>
      <c r="B149" s="446"/>
      <c r="C149" s="338" t="s">
        <v>127</v>
      </c>
      <c r="D149" s="340" t="s">
        <v>59</v>
      </c>
      <c r="E149" s="474"/>
      <c r="F149" s="372" t="s">
        <v>11</v>
      </c>
      <c r="G149" s="336">
        <v>0</v>
      </c>
      <c r="H149" s="336">
        <v>0</v>
      </c>
      <c r="I149" s="336">
        <v>0</v>
      </c>
      <c r="J149" s="336">
        <v>0</v>
      </c>
      <c r="K149" s="336">
        <v>0</v>
      </c>
      <c r="L149" s="337">
        <f>4000-349.7</f>
        <v>3650.3</v>
      </c>
      <c r="M149" s="337">
        <v>0</v>
      </c>
      <c r="N149" s="337">
        <f t="shared" si="8"/>
        <v>3650.3</v>
      </c>
      <c r="O149" s="337">
        <v>0</v>
      </c>
      <c r="P149" s="337">
        <v>0</v>
      </c>
      <c r="Q149" s="337">
        <v>0</v>
      </c>
      <c r="R149" s="337">
        <v>0</v>
      </c>
      <c r="S149" s="337">
        <v>0</v>
      </c>
      <c r="T149" s="337">
        <v>0</v>
      </c>
      <c r="U149" s="337">
        <f t="shared" si="7"/>
        <v>3650.3</v>
      </c>
    </row>
    <row r="150" spans="1:21" s="7" customFormat="1" ht="43.5" hidden="1" customHeight="1" outlineLevel="1" x14ac:dyDescent="0.2">
      <c r="A150" s="33"/>
      <c r="B150" s="446"/>
      <c r="C150" s="338" t="s">
        <v>128</v>
      </c>
      <c r="D150" s="340" t="s">
        <v>61</v>
      </c>
      <c r="E150" s="474"/>
      <c r="F150" s="372" t="s">
        <v>11</v>
      </c>
      <c r="G150" s="336">
        <v>0</v>
      </c>
      <c r="H150" s="336">
        <v>0</v>
      </c>
      <c r="I150" s="336">
        <v>0</v>
      </c>
      <c r="J150" s="336">
        <v>0</v>
      </c>
      <c r="K150" s="336">
        <v>0</v>
      </c>
      <c r="L150" s="337">
        <v>0</v>
      </c>
      <c r="M150" s="337">
        <f>2500</f>
        <v>2500</v>
      </c>
      <c r="N150" s="337">
        <f t="shared" si="8"/>
        <v>2500</v>
      </c>
      <c r="O150" s="337">
        <v>0</v>
      </c>
      <c r="P150" s="337">
        <v>0</v>
      </c>
      <c r="Q150" s="337">
        <v>0</v>
      </c>
      <c r="R150" s="337">
        <v>0</v>
      </c>
      <c r="S150" s="337">
        <v>0</v>
      </c>
      <c r="T150" s="337">
        <v>7800</v>
      </c>
      <c r="U150" s="337">
        <f t="shared" si="7"/>
        <v>10300</v>
      </c>
    </row>
    <row r="151" spans="1:21" s="91" customFormat="1" ht="42" hidden="1" customHeight="1" outlineLevel="1" collapsed="1" x14ac:dyDescent="0.2">
      <c r="A151" s="33"/>
      <c r="B151" s="446"/>
      <c r="C151" s="338" t="s">
        <v>129</v>
      </c>
      <c r="D151" s="340" t="s">
        <v>255</v>
      </c>
      <c r="E151" s="474"/>
      <c r="F151" s="372" t="s">
        <v>11</v>
      </c>
      <c r="G151" s="336">
        <v>0</v>
      </c>
      <c r="H151" s="336">
        <v>0</v>
      </c>
      <c r="I151" s="336">
        <v>0</v>
      </c>
      <c r="J151" s="336">
        <v>0</v>
      </c>
      <c r="K151" s="336">
        <v>0</v>
      </c>
      <c r="L151" s="337">
        <v>2500</v>
      </c>
      <c r="M151" s="337">
        <v>2750</v>
      </c>
      <c r="N151" s="337">
        <f t="shared" si="8"/>
        <v>5250</v>
      </c>
      <c r="O151" s="337">
        <f>2900+2100-500</f>
        <v>4500</v>
      </c>
      <c r="P151" s="337">
        <v>6500</v>
      </c>
      <c r="Q151" s="337">
        <v>0</v>
      </c>
      <c r="R151" s="337">
        <f>7100-7100</f>
        <v>0</v>
      </c>
      <c r="S151" s="337">
        <v>0</v>
      </c>
      <c r="T151" s="337">
        <v>0</v>
      </c>
      <c r="U151" s="337">
        <f t="shared" ref="U151:U214" si="9">SUM(G151:T151)-N151</f>
        <v>16250</v>
      </c>
    </row>
    <row r="152" spans="1:21" s="7" customFormat="1" ht="48" hidden="1" customHeight="1" outlineLevel="1" x14ac:dyDescent="0.2">
      <c r="A152" s="33"/>
      <c r="B152" s="446"/>
      <c r="C152" s="338" t="s">
        <v>130</v>
      </c>
      <c r="D152" s="341" t="s">
        <v>59</v>
      </c>
      <c r="E152" s="474"/>
      <c r="F152" s="372" t="s">
        <v>11</v>
      </c>
      <c r="G152" s="336">
        <v>0</v>
      </c>
      <c r="H152" s="336">
        <v>0</v>
      </c>
      <c r="I152" s="336">
        <v>0</v>
      </c>
      <c r="J152" s="336">
        <v>0</v>
      </c>
      <c r="K152" s="336">
        <v>0</v>
      </c>
      <c r="L152" s="337">
        <v>900</v>
      </c>
      <c r="M152" s="337">
        <v>0</v>
      </c>
      <c r="N152" s="337">
        <f t="shared" si="8"/>
        <v>900</v>
      </c>
      <c r="O152" s="337">
        <v>1100</v>
      </c>
      <c r="P152" s="337">
        <v>0</v>
      </c>
      <c r="Q152" s="337">
        <v>0</v>
      </c>
      <c r="R152" s="337">
        <v>0</v>
      </c>
      <c r="S152" s="337">
        <v>0</v>
      </c>
      <c r="T152" s="337">
        <v>0</v>
      </c>
      <c r="U152" s="337">
        <f t="shared" si="9"/>
        <v>2000</v>
      </c>
    </row>
    <row r="153" spans="1:21" s="7" customFormat="1" ht="45" hidden="1" customHeight="1" outlineLevel="1" x14ac:dyDescent="0.2">
      <c r="A153" s="33"/>
      <c r="B153" s="446"/>
      <c r="C153" s="338" t="s">
        <v>131</v>
      </c>
      <c r="D153" s="340" t="s">
        <v>59</v>
      </c>
      <c r="E153" s="474"/>
      <c r="F153" s="372" t="s">
        <v>11</v>
      </c>
      <c r="G153" s="336">
        <v>0</v>
      </c>
      <c r="H153" s="336">
        <v>0</v>
      </c>
      <c r="I153" s="336">
        <v>0</v>
      </c>
      <c r="J153" s="336">
        <v>0</v>
      </c>
      <c r="K153" s="336">
        <v>0</v>
      </c>
      <c r="L153" s="337">
        <v>300</v>
      </c>
      <c r="M153" s="337">
        <f>330-330</f>
        <v>0</v>
      </c>
      <c r="N153" s="337">
        <f t="shared" si="8"/>
        <v>300</v>
      </c>
      <c r="O153" s="337">
        <f>370-265.6</f>
        <v>104.39999999999998</v>
      </c>
      <c r="P153" s="337">
        <v>0</v>
      </c>
      <c r="Q153" s="337">
        <v>0</v>
      </c>
      <c r="R153" s="337">
        <v>0</v>
      </c>
      <c r="S153" s="337">
        <v>0</v>
      </c>
      <c r="T153" s="337">
        <v>0</v>
      </c>
      <c r="U153" s="337">
        <f t="shared" si="9"/>
        <v>404.4</v>
      </c>
    </row>
    <row r="154" spans="1:21" s="7" customFormat="1" ht="39.75" hidden="1" customHeight="1" outlineLevel="1" collapsed="1" x14ac:dyDescent="0.2">
      <c r="A154" s="33"/>
      <c r="B154" s="446"/>
      <c r="C154" s="338" t="s">
        <v>132</v>
      </c>
      <c r="D154" s="340" t="s">
        <v>59</v>
      </c>
      <c r="E154" s="474"/>
      <c r="F154" s="372" t="s">
        <v>11</v>
      </c>
      <c r="G154" s="336">
        <v>0</v>
      </c>
      <c r="H154" s="336">
        <v>0</v>
      </c>
      <c r="I154" s="336">
        <v>0</v>
      </c>
      <c r="J154" s="336">
        <v>0</v>
      </c>
      <c r="K154" s="336">
        <v>0</v>
      </c>
      <c r="L154" s="337">
        <v>0</v>
      </c>
      <c r="M154" s="337">
        <v>0</v>
      </c>
      <c r="N154" s="337">
        <f t="shared" si="8"/>
        <v>0</v>
      </c>
      <c r="O154" s="337">
        <v>4000</v>
      </c>
      <c r="P154" s="337">
        <v>0</v>
      </c>
      <c r="Q154" s="337">
        <v>0</v>
      </c>
      <c r="R154" s="337">
        <v>0</v>
      </c>
      <c r="S154" s="337">
        <f>6157-6157</f>
        <v>0</v>
      </c>
      <c r="T154" s="337">
        <v>0</v>
      </c>
      <c r="U154" s="337">
        <f t="shared" si="9"/>
        <v>4000</v>
      </c>
    </row>
    <row r="155" spans="1:21" s="7" customFormat="1" ht="44.25" hidden="1" customHeight="1" outlineLevel="1" x14ac:dyDescent="0.2">
      <c r="A155" s="33"/>
      <c r="B155" s="446"/>
      <c r="C155" s="338" t="s">
        <v>133</v>
      </c>
      <c r="D155" s="340" t="s">
        <v>59</v>
      </c>
      <c r="E155" s="474"/>
      <c r="F155" s="372" t="s">
        <v>11</v>
      </c>
      <c r="G155" s="336">
        <v>0</v>
      </c>
      <c r="H155" s="336">
        <v>0</v>
      </c>
      <c r="I155" s="336">
        <v>0</v>
      </c>
      <c r="J155" s="336">
        <v>0</v>
      </c>
      <c r="K155" s="336">
        <v>0</v>
      </c>
      <c r="L155" s="337">
        <v>0</v>
      </c>
      <c r="M155" s="337">
        <f>7000-2000</f>
        <v>5000</v>
      </c>
      <c r="N155" s="337">
        <f t="shared" si="8"/>
        <v>5000</v>
      </c>
      <c r="O155" s="337">
        <v>7700</v>
      </c>
      <c r="P155" s="337">
        <v>0</v>
      </c>
      <c r="Q155" s="337">
        <v>0</v>
      </c>
      <c r="R155" s="337">
        <v>0</v>
      </c>
      <c r="S155" s="337">
        <f>9500-9500</f>
        <v>0</v>
      </c>
      <c r="T155" s="337">
        <v>0</v>
      </c>
      <c r="U155" s="337">
        <f t="shared" si="9"/>
        <v>12700</v>
      </c>
    </row>
    <row r="156" spans="1:21" s="7" customFormat="1" ht="41.25" hidden="1" customHeight="1" outlineLevel="1" x14ac:dyDescent="0.2">
      <c r="A156" s="33"/>
      <c r="B156" s="446"/>
      <c r="C156" s="338" t="s">
        <v>134</v>
      </c>
      <c r="D156" s="340" t="s">
        <v>59</v>
      </c>
      <c r="E156" s="474"/>
      <c r="F156" s="372" t="s">
        <v>11</v>
      </c>
      <c r="G156" s="336">
        <v>0</v>
      </c>
      <c r="H156" s="336">
        <v>0</v>
      </c>
      <c r="I156" s="336">
        <v>0</v>
      </c>
      <c r="J156" s="336">
        <v>0</v>
      </c>
      <c r="K156" s="336">
        <v>0</v>
      </c>
      <c r="L156" s="337">
        <f>5000-2397</f>
        <v>2603</v>
      </c>
      <c r="M156" s="337">
        <f>5500</f>
        <v>5500</v>
      </c>
      <c r="N156" s="337">
        <f t="shared" si="8"/>
        <v>8103</v>
      </c>
      <c r="O156" s="337">
        <v>0</v>
      </c>
      <c r="P156" s="337">
        <v>0</v>
      </c>
      <c r="Q156" s="337">
        <v>0</v>
      </c>
      <c r="R156" s="337">
        <v>0</v>
      </c>
      <c r="S156" s="337">
        <v>0</v>
      </c>
      <c r="T156" s="337">
        <v>0</v>
      </c>
      <c r="U156" s="337">
        <f t="shared" si="9"/>
        <v>8103</v>
      </c>
    </row>
    <row r="157" spans="1:21" s="7" customFormat="1" ht="42" hidden="1" customHeight="1" outlineLevel="1" collapsed="1" x14ac:dyDescent="0.2">
      <c r="A157" s="33"/>
      <c r="B157" s="446"/>
      <c r="C157" s="338" t="s">
        <v>135</v>
      </c>
      <c r="D157" s="340" t="s">
        <v>260</v>
      </c>
      <c r="E157" s="474"/>
      <c r="F157" s="372" t="s">
        <v>11</v>
      </c>
      <c r="G157" s="336">
        <v>0</v>
      </c>
      <c r="H157" s="336">
        <v>0</v>
      </c>
      <c r="I157" s="336">
        <v>0</v>
      </c>
      <c r="J157" s="336">
        <v>0</v>
      </c>
      <c r="K157" s="336">
        <v>0</v>
      </c>
      <c r="L157" s="337">
        <v>65000</v>
      </c>
      <c r="M157" s="337">
        <v>0</v>
      </c>
      <c r="N157" s="337">
        <f t="shared" si="8"/>
        <v>65000</v>
      </c>
      <c r="O157" s="337">
        <v>0</v>
      </c>
      <c r="P157" s="337">
        <v>0</v>
      </c>
      <c r="Q157" s="337">
        <f>212000-212000</f>
        <v>0</v>
      </c>
      <c r="R157" s="337">
        <v>0</v>
      </c>
      <c r="S157" s="337">
        <v>0</v>
      </c>
      <c r="T157" s="337">
        <v>0</v>
      </c>
      <c r="U157" s="337">
        <f t="shared" si="9"/>
        <v>65000</v>
      </c>
    </row>
    <row r="158" spans="1:21" s="7" customFormat="1" ht="46.5" hidden="1" customHeight="1" outlineLevel="3" x14ac:dyDescent="0.2">
      <c r="A158" s="33"/>
      <c r="B158" s="446"/>
      <c r="C158" s="338" t="s">
        <v>201</v>
      </c>
      <c r="D158" s="340" t="s">
        <v>61</v>
      </c>
      <c r="E158" s="474"/>
      <c r="F158" s="372" t="s">
        <v>11</v>
      </c>
      <c r="G158" s="336">
        <v>0</v>
      </c>
      <c r="H158" s="336">
        <v>0</v>
      </c>
      <c r="I158" s="336">
        <v>0</v>
      </c>
      <c r="J158" s="336">
        <v>0</v>
      </c>
      <c r="K158" s="336">
        <v>0</v>
      </c>
      <c r="L158" s="337">
        <v>0</v>
      </c>
      <c r="M158" s="337">
        <f>7700-7700</f>
        <v>0</v>
      </c>
      <c r="N158" s="337">
        <f t="shared" si="8"/>
        <v>0</v>
      </c>
      <c r="O158" s="337">
        <v>0</v>
      </c>
      <c r="P158" s="337">
        <v>0</v>
      </c>
      <c r="Q158" s="337">
        <v>0</v>
      </c>
      <c r="R158" s="337">
        <v>0</v>
      </c>
      <c r="S158" s="337">
        <v>0</v>
      </c>
      <c r="T158" s="337">
        <v>16300</v>
      </c>
      <c r="U158" s="337">
        <f t="shared" si="9"/>
        <v>16300</v>
      </c>
    </row>
    <row r="159" spans="1:21" s="7" customFormat="1" ht="44.25" hidden="1" customHeight="1" outlineLevel="1" collapsed="1" x14ac:dyDescent="0.2">
      <c r="A159" s="33"/>
      <c r="B159" s="446"/>
      <c r="C159" s="342" t="s">
        <v>273</v>
      </c>
      <c r="D159" s="341" t="s">
        <v>59</v>
      </c>
      <c r="E159" s="474"/>
      <c r="F159" s="372" t="s">
        <v>11</v>
      </c>
      <c r="G159" s="336">
        <v>0</v>
      </c>
      <c r="H159" s="336">
        <v>0</v>
      </c>
      <c r="I159" s="336">
        <v>0</v>
      </c>
      <c r="J159" s="336">
        <v>0</v>
      </c>
      <c r="K159" s="336">
        <v>0</v>
      </c>
      <c r="L159" s="337">
        <v>0</v>
      </c>
      <c r="M159" s="337">
        <v>0</v>
      </c>
      <c r="N159" s="337">
        <f t="shared" si="8"/>
        <v>0</v>
      </c>
      <c r="O159" s="337">
        <v>8500</v>
      </c>
      <c r="P159" s="337">
        <v>0</v>
      </c>
      <c r="Q159" s="337">
        <v>0</v>
      </c>
      <c r="R159" s="337">
        <v>0</v>
      </c>
      <c r="S159" s="337">
        <f>3860-3860</f>
        <v>0</v>
      </c>
      <c r="T159" s="337">
        <v>0</v>
      </c>
      <c r="U159" s="337">
        <f t="shared" si="9"/>
        <v>8500</v>
      </c>
    </row>
    <row r="160" spans="1:21" s="7" customFormat="1" ht="69" hidden="1" customHeight="1" outlineLevel="3" x14ac:dyDescent="0.2">
      <c r="A160" s="33"/>
      <c r="B160" s="446"/>
      <c r="C160" s="343" t="s">
        <v>212</v>
      </c>
      <c r="D160" s="339" t="s">
        <v>59</v>
      </c>
      <c r="E160" s="474"/>
      <c r="F160" s="372" t="s">
        <v>11</v>
      </c>
      <c r="G160" s="336">
        <v>0</v>
      </c>
      <c r="H160" s="336">
        <v>0</v>
      </c>
      <c r="I160" s="336">
        <v>0</v>
      </c>
      <c r="J160" s="336">
        <v>0</v>
      </c>
      <c r="K160" s="336">
        <v>0</v>
      </c>
      <c r="L160" s="337">
        <v>78600</v>
      </c>
      <c r="M160" s="337">
        <v>78400</v>
      </c>
      <c r="N160" s="337">
        <f t="shared" si="8"/>
        <v>157000</v>
      </c>
      <c r="O160" s="337">
        <v>78500</v>
      </c>
      <c r="P160" s="337">
        <v>0</v>
      </c>
      <c r="Q160" s="337">
        <v>0</v>
      </c>
      <c r="R160" s="337">
        <v>0</v>
      </c>
      <c r="S160" s="337">
        <v>0</v>
      </c>
      <c r="T160" s="337">
        <v>0</v>
      </c>
      <c r="U160" s="337">
        <f t="shared" si="9"/>
        <v>235500</v>
      </c>
    </row>
    <row r="161" spans="1:21" s="7" customFormat="1" ht="46.5" hidden="1" customHeight="1" outlineLevel="3" collapsed="1" x14ac:dyDescent="0.2">
      <c r="A161" s="33"/>
      <c r="B161" s="446"/>
      <c r="C161" s="345" t="s">
        <v>136</v>
      </c>
      <c r="D161" s="340" t="s">
        <v>256</v>
      </c>
      <c r="E161" s="474"/>
      <c r="F161" s="372" t="s">
        <v>11</v>
      </c>
      <c r="G161" s="336">
        <v>0</v>
      </c>
      <c r="H161" s="336">
        <v>0</v>
      </c>
      <c r="I161" s="336">
        <v>0</v>
      </c>
      <c r="J161" s="336">
        <v>0</v>
      </c>
      <c r="K161" s="336">
        <v>0</v>
      </c>
      <c r="L161" s="337">
        <v>46839</v>
      </c>
      <c r="M161" s="337">
        <v>52023</v>
      </c>
      <c r="N161" s="337">
        <f t="shared" si="8"/>
        <v>98862</v>
      </c>
      <c r="O161" s="337">
        <v>100985</v>
      </c>
      <c r="P161" s="337">
        <v>0</v>
      </c>
      <c r="Q161" s="337">
        <v>0</v>
      </c>
      <c r="R161" s="337">
        <v>0</v>
      </c>
      <c r="S161" s="337">
        <v>0</v>
      </c>
      <c r="T161" s="337">
        <v>0</v>
      </c>
      <c r="U161" s="337">
        <f t="shared" si="9"/>
        <v>199847</v>
      </c>
    </row>
    <row r="162" spans="1:21" s="7" customFormat="1" ht="72.75" hidden="1" customHeight="1" collapsed="1" x14ac:dyDescent="0.2">
      <c r="A162" s="33"/>
      <c r="B162" s="446"/>
      <c r="C162" s="333" t="s">
        <v>137</v>
      </c>
      <c r="D162" s="340" t="s">
        <v>61</v>
      </c>
      <c r="E162" s="474"/>
      <c r="F162" s="372" t="s">
        <v>11</v>
      </c>
      <c r="G162" s="336">
        <v>0</v>
      </c>
      <c r="H162" s="336">
        <v>0</v>
      </c>
      <c r="I162" s="336">
        <v>0</v>
      </c>
      <c r="J162" s="336">
        <v>0</v>
      </c>
      <c r="K162" s="336">
        <v>0</v>
      </c>
      <c r="L162" s="337">
        <v>487872.01</v>
      </c>
      <c r="M162" s="337">
        <f>565781.7-700</f>
        <v>565081.69999999995</v>
      </c>
      <c r="N162" s="337">
        <f t="shared" si="8"/>
        <v>1052953.71</v>
      </c>
      <c r="O162" s="337">
        <v>606173.69999999995</v>
      </c>
      <c r="P162" s="337">
        <v>715064.5</v>
      </c>
      <c r="Q162" s="337">
        <f>777154.5-28938.68-1431.415</f>
        <v>746784.40499999991</v>
      </c>
      <c r="R162" s="337">
        <f>837218.4-31837.45</f>
        <v>805380.95000000007</v>
      </c>
      <c r="S162" s="337">
        <f>902652.4-74671.29</f>
        <v>827981.11</v>
      </c>
      <c r="T162" s="337">
        <v>973021.7</v>
      </c>
      <c r="U162" s="337">
        <f t="shared" si="9"/>
        <v>5727360.0750000002</v>
      </c>
    </row>
    <row r="163" spans="1:21" s="7" customFormat="1" ht="47.25" hidden="1" customHeight="1" outlineLevel="1" x14ac:dyDescent="0.2">
      <c r="A163" s="33"/>
      <c r="B163" s="446"/>
      <c r="C163" s="338" t="s">
        <v>187</v>
      </c>
      <c r="D163" s="346">
        <v>2021</v>
      </c>
      <c r="E163" s="474"/>
      <c r="F163" s="372" t="s">
        <v>11</v>
      </c>
      <c r="G163" s="336">
        <v>0</v>
      </c>
      <c r="H163" s="337">
        <v>0</v>
      </c>
      <c r="I163" s="337">
        <v>0</v>
      </c>
      <c r="J163" s="337">
        <v>0</v>
      </c>
      <c r="K163" s="337">
        <v>0</v>
      </c>
      <c r="L163" s="337">
        <v>241.5</v>
      </c>
      <c r="M163" s="337">
        <v>0</v>
      </c>
      <c r="N163" s="337">
        <f t="shared" si="8"/>
        <v>241.5</v>
      </c>
      <c r="O163" s="337">
        <v>0</v>
      </c>
      <c r="P163" s="337">
        <v>0</v>
      </c>
      <c r="Q163" s="337">
        <v>0</v>
      </c>
      <c r="R163" s="337">
        <v>0</v>
      </c>
      <c r="S163" s="337">
        <v>0</v>
      </c>
      <c r="T163" s="337">
        <v>0</v>
      </c>
      <c r="U163" s="337">
        <f t="shared" si="9"/>
        <v>241.5</v>
      </c>
    </row>
    <row r="164" spans="1:21" s="7" customFormat="1" ht="42" hidden="1" customHeight="1" outlineLevel="1" x14ac:dyDescent="0.2">
      <c r="A164" s="76"/>
      <c r="B164" s="446"/>
      <c r="C164" s="338" t="s">
        <v>202</v>
      </c>
      <c r="D164" s="346">
        <v>2021</v>
      </c>
      <c r="E164" s="474"/>
      <c r="F164" s="372" t="s">
        <v>11</v>
      </c>
      <c r="G164" s="336">
        <v>0</v>
      </c>
      <c r="H164" s="337">
        <v>0</v>
      </c>
      <c r="I164" s="337">
        <v>0</v>
      </c>
      <c r="J164" s="337">
        <v>0</v>
      </c>
      <c r="K164" s="337">
        <v>0</v>
      </c>
      <c r="L164" s="337">
        <f>0+400</f>
        <v>400</v>
      </c>
      <c r="M164" s="337">
        <v>0</v>
      </c>
      <c r="N164" s="337">
        <f t="shared" si="8"/>
        <v>400</v>
      </c>
      <c r="O164" s="337">
        <v>0</v>
      </c>
      <c r="P164" s="337">
        <v>0</v>
      </c>
      <c r="Q164" s="337">
        <v>0</v>
      </c>
      <c r="R164" s="337">
        <v>0</v>
      </c>
      <c r="S164" s="337">
        <v>0</v>
      </c>
      <c r="T164" s="337">
        <v>0</v>
      </c>
      <c r="U164" s="337">
        <f t="shared" si="9"/>
        <v>400</v>
      </c>
    </row>
    <row r="165" spans="1:21" s="7" customFormat="1" ht="44.25" hidden="1" customHeight="1" outlineLevel="1" x14ac:dyDescent="0.2">
      <c r="A165" s="33"/>
      <c r="B165" s="446"/>
      <c r="C165" s="338" t="s">
        <v>138</v>
      </c>
      <c r="D165" s="346">
        <v>2021</v>
      </c>
      <c r="E165" s="474"/>
      <c r="F165" s="372" t="s">
        <v>11</v>
      </c>
      <c r="G165" s="336">
        <v>0</v>
      </c>
      <c r="H165" s="337">
        <v>0</v>
      </c>
      <c r="I165" s="337">
        <v>0</v>
      </c>
      <c r="J165" s="337">
        <v>0</v>
      </c>
      <c r="K165" s="337">
        <v>0</v>
      </c>
      <c r="L165" s="337">
        <f>0+300</f>
        <v>300</v>
      </c>
      <c r="M165" s="337">
        <v>0</v>
      </c>
      <c r="N165" s="337">
        <f t="shared" si="8"/>
        <v>300</v>
      </c>
      <c r="O165" s="337">
        <v>0</v>
      </c>
      <c r="P165" s="337">
        <v>0</v>
      </c>
      <c r="Q165" s="337">
        <v>0</v>
      </c>
      <c r="R165" s="337">
        <v>0</v>
      </c>
      <c r="S165" s="337">
        <v>0</v>
      </c>
      <c r="T165" s="337">
        <v>0</v>
      </c>
      <c r="U165" s="337">
        <f t="shared" si="9"/>
        <v>300</v>
      </c>
    </row>
    <row r="166" spans="1:21" s="7" customFormat="1" ht="47.25" hidden="1" customHeight="1" outlineLevel="1" x14ac:dyDescent="0.2">
      <c r="A166" s="33"/>
      <c r="B166" s="446"/>
      <c r="C166" s="338" t="s">
        <v>188</v>
      </c>
      <c r="D166" s="346">
        <v>2021</v>
      </c>
      <c r="E166" s="474"/>
      <c r="F166" s="372" t="s">
        <v>11</v>
      </c>
      <c r="G166" s="336">
        <v>0</v>
      </c>
      <c r="H166" s="337">
        <v>0</v>
      </c>
      <c r="I166" s="337">
        <v>0</v>
      </c>
      <c r="J166" s="337">
        <v>0</v>
      </c>
      <c r="K166" s="337">
        <v>0</v>
      </c>
      <c r="L166" s="337">
        <v>2397</v>
      </c>
      <c r="M166" s="337">
        <v>0</v>
      </c>
      <c r="N166" s="337">
        <f t="shared" si="8"/>
        <v>2397</v>
      </c>
      <c r="O166" s="337">
        <v>0</v>
      </c>
      <c r="P166" s="337">
        <v>0</v>
      </c>
      <c r="Q166" s="337">
        <v>0</v>
      </c>
      <c r="R166" s="337">
        <v>0</v>
      </c>
      <c r="S166" s="337">
        <v>0</v>
      </c>
      <c r="T166" s="337">
        <v>0</v>
      </c>
      <c r="U166" s="337">
        <f t="shared" si="9"/>
        <v>2397</v>
      </c>
    </row>
    <row r="167" spans="1:21" s="7" customFormat="1" ht="39" hidden="1" customHeight="1" outlineLevel="1" x14ac:dyDescent="0.2">
      <c r="A167" s="33"/>
      <c r="B167" s="446"/>
      <c r="C167" s="338" t="s">
        <v>139</v>
      </c>
      <c r="D167" s="347">
        <v>2022</v>
      </c>
      <c r="E167" s="474"/>
      <c r="F167" s="372" t="s">
        <v>11</v>
      </c>
      <c r="G167" s="336">
        <v>0</v>
      </c>
      <c r="H167" s="337">
        <v>0</v>
      </c>
      <c r="I167" s="337">
        <v>0</v>
      </c>
      <c r="J167" s="337">
        <v>0</v>
      </c>
      <c r="K167" s="337">
        <v>0</v>
      </c>
      <c r="L167" s="337">
        <v>0</v>
      </c>
      <c r="M167" s="337">
        <v>2500</v>
      </c>
      <c r="N167" s="337">
        <f t="shared" si="8"/>
        <v>2500</v>
      </c>
      <c r="O167" s="337">
        <v>0</v>
      </c>
      <c r="P167" s="337">
        <v>0</v>
      </c>
      <c r="Q167" s="337">
        <v>0</v>
      </c>
      <c r="R167" s="337">
        <v>0</v>
      </c>
      <c r="S167" s="337">
        <v>0</v>
      </c>
      <c r="T167" s="337">
        <v>0</v>
      </c>
      <c r="U167" s="337">
        <f t="shared" si="9"/>
        <v>2500</v>
      </c>
    </row>
    <row r="168" spans="1:21" s="7" customFormat="1" ht="43.5" hidden="1" customHeight="1" outlineLevel="1" collapsed="1" x14ac:dyDescent="0.2">
      <c r="A168" s="33"/>
      <c r="B168" s="446"/>
      <c r="C168" s="338" t="s">
        <v>140</v>
      </c>
      <c r="D168" s="346" t="s">
        <v>61</v>
      </c>
      <c r="E168" s="474"/>
      <c r="F168" s="372" t="s">
        <v>11</v>
      </c>
      <c r="G168" s="336">
        <v>0</v>
      </c>
      <c r="H168" s="337">
        <v>0</v>
      </c>
      <c r="I168" s="337">
        <v>0</v>
      </c>
      <c r="J168" s="337">
        <v>0</v>
      </c>
      <c r="K168" s="337">
        <v>0</v>
      </c>
      <c r="L168" s="337">
        <v>0</v>
      </c>
      <c r="M168" s="337">
        <v>6400</v>
      </c>
      <c r="N168" s="337">
        <f t="shared" si="8"/>
        <v>6400</v>
      </c>
      <c r="O168" s="337">
        <v>0</v>
      </c>
      <c r="P168" s="337">
        <v>0</v>
      </c>
      <c r="Q168" s="337">
        <v>0</v>
      </c>
      <c r="R168" s="337">
        <v>0</v>
      </c>
      <c r="S168" s="337">
        <f>18000-18000</f>
        <v>0</v>
      </c>
      <c r="T168" s="337">
        <v>19000</v>
      </c>
      <c r="U168" s="337">
        <f t="shared" si="9"/>
        <v>25400</v>
      </c>
    </row>
    <row r="169" spans="1:21" s="7" customFormat="1" ht="49.5" hidden="1" customHeight="1" outlineLevel="1" x14ac:dyDescent="0.2">
      <c r="A169" s="33"/>
      <c r="B169" s="446"/>
      <c r="C169" s="338" t="s">
        <v>141</v>
      </c>
      <c r="D169" s="346" t="s">
        <v>59</v>
      </c>
      <c r="E169" s="474"/>
      <c r="F169" s="372" t="s">
        <v>11</v>
      </c>
      <c r="G169" s="336">
        <v>0</v>
      </c>
      <c r="H169" s="337">
        <v>0</v>
      </c>
      <c r="I169" s="337">
        <v>0</v>
      </c>
      <c r="J169" s="337">
        <v>0</v>
      </c>
      <c r="K169" s="337">
        <v>0</v>
      </c>
      <c r="L169" s="337">
        <v>0</v>
      </c>
      <c r="M169" s="337">
        <v>2600</v>
      </c>
      <c r="N169" s="337">
        <f t="shared" si="8"/>
        <v>2600</v>
      </c>
      <c r="O169" s="337">
        <v>0</v>
      </c>
      <c r="P169" s="337">
        <v>0</v>
      </c>
      <c r="Q169" s="337">
        <v>0</v>
      </c>
      <c r="R169" s="337">
        <v>0</v>
      </c>
      <c r="S169" s="337">
        <v>0</v>
      </c>
      <c r="T169" s="337">
        <v>0</v>
      </c>
      <c r="U169" s="337">
        <f t="shared" si="9"/>
        <v>2600</v>
      </c>
    </row>
    <row r="170" spans="1:21" s="7" customFormat="1" ht="47.25" hidden="1" customHeight="1" outlineLevel="1" x14ac:dyDescent="0.2">
      <c r="A170" s="33"/>
      <c r="B170" s="446"/>
      <c r="C170" s="338" t="s">
        <v>142</v>
      </c>
      <c r="D170" s="346" t="s">
        <v>59</v>
      </c>
      <c r="E170" s="474"/>
      <c r="F170" s="372" t="s">
        <v>11</v>
      </c>
      <c r="G170" s="336">
        <v>0</v>
      </c>
      <c r="H170" s="337">
        <v>0</v>
      </c>
      <c r="I170" s="337">
        <v>0</v>
      </c>
      <c r="J170" s="337">
        <v>0</v>
      </c>
      <c r="K170" s="337">
        <v>0</v>
      </c>
      <c r="L170" s="337">
        <v>0</v>
      </c>
      <c r="M170" s="337">
        <v>1500</v>
      </c>
      <c r="N170" s="337">
        <f t="shared" si="8"/>
        <v>1500</v>
      </c>
      <c r="O170" s="337">
        <v>0</v>
      </c>
      <c r="P170" s="337">
        <v>0</v>
      </c>
      <c r="Q170" s="337">
        <v>0</v>
      </c>
      <c r="R170" s="337">
        <v>0</v>
      </c>
      <c r="S170" s="337">
        <v>0</v>
      </c>
      <c r="T170" s="337">
        <v>0</v>
      </c>
      <c r="U170" s="337">
        <f t="shared" si="9"/>
        <v>1500</v>
      </c>
    </row>
    <row r="171" spans="1:21" s="7" customFormat="1" ht="48" hidden="1" customHeight="1" outlineLevel="1" x14ac:dyDescent="0.2">
      <c r="A171" s="33"/>
      <c r="B171" s="446"/>
      <c r="C171" s="338" t="s">
        <v>143</v>
      </c>
      <c r="D171" s="346">
        <v>2022</v>
      </c>
      <c r="E171" s="474"/>
      <c r="F171" s="372" t="s">
        <v>11</v>
      </c>
      <c r="G171" s="336">
        <v>0</v>
      </c>
      <c r="H171" s="337">
        <v>0</v>
      </c>
      <c r="I171" s="337">
        <v>0</v>
      </c>
      <c r="J171" s="337">
        <v>0</v>
      </c>
      <c r="K171" s="337">
        <v>0</v>
      </c>
      <c r="L171" s="337">
        <v>0</v>
      </c>
      <c r="M171" s="337">
        <v>700</v>
      </c>
      <c r="N171" s="337">
        <f t="shared" si="8"/>
        <v>700</v>
      </c>
      <c r="O171" s="337">
        <v>0</v>
      </c>
      <c r="P171" s="337">
        <v>0</v>
      </c>
      <c r="Q171" s="337">
        <v>0</v>
      </c>
      <c r="R171" s="337">
        <v>0</v>
      </c>
      <c r="S171" s="337">
        <v>0</v>
      </c>
      <c r="T171" s="337">
        <v>0</v>
      </c>
      <c r="U171" s="337">
        <f t="shared" si="9"/>
        <v>700</v>
      </c>
    </row>
    <row r="172" spans="1:21" s="7" customFormat="1" ht="42.75" hidden="1" customHeight="1" outlineLevel="1" x14ac:dyDescent="0.2">
      <c r="A172" s="33"/>
      <c r="B172" s="446"/>
      <c r="C172" s="338" t="s">
        <v>144</v>
      </c>
      <c r="D172" s="348">
        <v>2023</v>
      </c>
      <c r="E172" s="474"/>
      <c r="F172" s="373" t="s">
        <v>11</v>
      </c>
      <c r="G172" s="336">
        <v>0</v>
      </c>
      <c r="H172" s="336">
        <v>0</v>
      </c>
      <c r="I172" s="336">
        <v>0</v>
      </c>
      <c r="J172" s="336">
        <v>0</v>
      </c>
      <c r="K172" s="336">
        <v>0</v>
      </c>
      <c r="L172" s="337">
        <v>0</v>
      </c>
      <c r="M172" s="337">
        <v>0</v>
      </c>
      <c r="N172" s="337">
        <f t="shared" si="8"/>
        <v>0</v>
      </c>
      <c r="O172" s="337">
        <v>400</v>
      </c>
      <c r="P172" s="337">
        <v>0</v>
      </c>
      <c r="Q172" s="337">
        <v>0</v>
      </c>
      <c r="R172" s="337">
        <v>0</v>
      </c>
      <c r="S172" s="337">
        <v>0</v>
      </c>
      <c r="T172" s="337">
        <v>0</v>
      </c>
      <c r="U172" s="337">
        <f t="shared" si="9"/>
        <v>400</v>
      </c>
    </row>
    <row r="173" spans="1:21" s="91" customFormat="1" ht="42" hidden="1" customHeight="1" outlineLevel="1" collapsed="1" x14ac:dyDescent="0.2">
      <c r="A173" s="33"/>
      <c r="B173" s="446"/>
      <c r="C173" s="342" t="s">
        <v>189</v>
      </c>
      <c r="D173" s="348">
        <v>2023</v>
      </c>
      <c r="E173" s="474"/>
      <c r="F173" s="373" t="s">
        <v>11</v>
      </c>
      <c r="G173" s="336">
        <v>0</v>
      </c>
      <c r="H173" s="336">
        <v>0</v>
      </c>
      <c r="I173" s="336">
        <v>0</v>
      </c>
      <c r="J173" s="336">
        <v>0</v>
      </c>
      <c r="K173" s="336">
        <v>0</v>
      </c>
      <c r="L173" s="337">
        <v>0</v>
      </c>
      <c r="M173" s="337">
        <v>0</v>
      </c>
      <c r="N173" s="337">
        <f t="shared" si="8"/>
        <v>0</v>
      </c>
      <c r="O173" s="337">
        <v>9800</v>
      </c>
      <c r="P173" s="337">
        <v>0</v>
      </c>
      <c r="Q173" s="337">
        <v>0</v>
      </c>
      <c r="R173" s="337">
        <v>0</v>
      </c>
      <c r="S173" s="337">
        <v>0</v>
      </c>
      <c r="T173" s="337">
        <f>13760-13760</f>
        <v>0</v>
      </c>
      <c r="U173" s="337">
        <f t="shared" si="9"/>
        <v>9800</v>
      </c>
    </row>
    <row r="174" spans="1:21" s="91" customFormat="1" ht="40.5" hidden="1" customHeight="1" outlineLevel="1" x14ac:dyDescent="0.2">
      <c r="A174" s="33"/>
      <c r="B174" s="446"/>
      <c r="C174" s="343" t="s">
        <v>145</v>
      </c>
      <c r="D174" s="334">
        <v>2023</v>
      </c>
      <c r="E174" s="474"/>
      <c r="F174" s="374" t="s">
        <v>11</v>
      </c>
      <c r="G174" s="350">
        <v>0</v>
      </c>
      <c r="H174" s="350">
        <v>0</v>
      </c>
      <c r="I174" s="350">
        <v>0</v>
      </c>
      <c r="J174" s="350">
        <v>0</v>
      </c>
      <c r="K174" s="350">
        <v>0</v>
      </c>
      <c r="L174" s="351">
        <v>0</v>
      </c>
      <c r="M174" s="351">
        <v>0</v>
      </c>
      <c r="N174" s="351">
        <f t="shared" si="8"/>
        <v>0</v>
      </c>
      <c r="O174" s="351">
        <v>4100</v>
      </c>
      <c r="P174" s="351">
        <v>0</v>
      </c>
      <c r="Q174" s="351">
        <v>0</v>
      </c>
      <c r="R174" s="351">
        <v>0</v>
      </c>
      <c r="S174" s="351">
        <v>0</v>
      </c>
      <c r="T174" s="351">
        <f>5757-5757</f>
        <v>0</v>
      </c>
      <c r="U174" s="351">
        <f t="shared" si="9"/>
        <v>4100</v>
      </c>
    </row>
    <row r="175" spans="1:21" s="7" customFormat="1" ht="46.5" hidden="1" customHeight="1" outlineLevel="1" x14ac:dyDescent="0.2">
      <c r="A175" s="33"/>
      <c r="B175" s="446"/>
      <c r="C175" s="338" t="s">
        <v>146</v>
      </c>
      <c r="D175" s="247">
        <v>2023</v>
      </c>
      <c r="E175" s="474"/>
      <c r="F175" s="373" t="s">
        <v>11</v>
      </c>
      <c r="G175" s="336">
        <v>0</v>
      </c>
      <c r="H175" s="336">
        <v>0</v>
      </c>
      <c r="I175" s="336">
        <v>0</v>
      </c>
      <c r="J175" s="336">
        <v>0</v>
      </c>
      <c r="K175" s="336">
        <v>0</v>
      </c>
      <c r="L175" s="337">
        <v>0</v>
      </c>
      <c r="M175" s="337">
        <v>0</v>
      </c>
      <c r="N175" s="337">
        <f t="shared" si="8"/>
        <v>0</v>
      </c>
      <c r="O175" s="337">
        <v>720</v>
      </c>
      <c r="P175" s="337">
        <v>0</v>
      </c>
      <c r="Q175" s="337">
        <v>0</v>
      </c>
      <c r="R175" s="337">
        <v>0</v>
      </c>
      <c r="S175" s="337">
        <v>0</v>
      </c>
      <c r="T175" s="337">
        <v>0</v>
      </c>
      <c r="U175" s="337">
        <f t="shared" si="9"/>
        <v>720</v>
      </c>
    </row>
    <row r="176" spans="1:21" s="7" customFormat="1" ht="45.75" hidden="1" customHeight="1" outlineLevel="1" x14ac:dyDescent="0.2">
      <c r="A176" s="33"/>
      <c r="B176" s="446"/>
      <c r="C176" s="338" t="s">
        <v>229</v>
      </c>
      <c r="D176" s="352" t="s">
        <v>73</v>
      </c>
      <c r="E176" s="474"/>
      <c r="F176" s="375" t="s">
        <v>11</v>
      </c>
      <c r="G176" s="353">
        <v>0</v>
      </c>
      <c r="H176" s="353">
        <v>0</v>
      </c>
      <c r="I176" s="353">
        <v>0</v>
      </c>
      <c r="J176" s="353">
        <v>0</v>
      </c>
      <c r="K176" s="353">
        <v>0</v>
      </c>
      <c r="L176" s="354">
        <v>0</v>
      </c>
      <c r="M176" s="354">
        <v>0</v>
      </c>
      <c r="N176" s="337">
        <f t="shared" si="8"/>
        <v>0</v>
      </c>
      <c r="O176" s="354">
        <v>0</v>
      </c>
      <c r="P176" s="337">
        <v>273</v>
      </c>
      <c r="Q176" s="353">
        <v>0</v>
      </c>
      <c r="R176" s="353">
        <v>0</v>
      </c>
      <c r="S176" s="353">
        <v>0</v>
      </c>
      <c r="T176" s="354">
        <f>700-700</f>
        <v>0</v>
      </c>
      <c r="U176" s="337">
        <f t="shared" si="9"/>
        <v>273</v>
      </c>
    </row>
    <row r="177" spans="1:21" s="7" customFormat="1" ht="39.75" hidden="1" customHeight="1" outlineLevel="1" collapsed="1" x14ac:dyDescent="0.2">
      <c r="A177" s="33"/>
      <c r="B177" s="446"/>
      <c r="C177" s="338" t="s">
        <v>147</v>
      </c>
      <c r="D177" s="352" t="s">
        <v>73</v>
      </c>
      <c r="E177" s="474"/>
      <c r="F177" s="375" t="s">
        <v>11</v>
      </c>
      <c r="G177" s="353">
        <v>0</v>
      </c>
      <c r="H177" s="353">
        <v>0</v>
      </c>
      <c r="I177" s="353">
        <v>0</v>
      </c>
      <c r="J177" s="353">
        <v>0</v>
      </c>
      <c r="K177" s="353">
        <v>0</v>
      </c>
      <c r="L177" s="354">
        <v>0</v>
      </c>
      <c r="M177" s="354">
        <v>0</v>
      </c>
      <c r="N177" s="337">
        <f t="shared" si="8"/>
        <v>0</v>
      </c>
      <c r="O177" s="354">
        <v>0</v>
      </c>
      <c r="P177" s="337">
        <v>3550</v>
      </c>
      <c r="Q177" s="354">
        <v>0</v>
      </c>
      <c r="R177" s="354">
        <v>0</v>
      </c>
      <c r="S177" s="337">
        <f>4250-4250</f>
        <v>0</v>
      </c>
      <c r="T177" s="354">
        <v>0</v>
      </c>
      <c r="U177" s="337">
        <f t="shared" si="9"/>
        <v>3550</v>
      </c>
    </row>
    <row r="178" spans="1:21" s="7" customFormat="1" ht="48" hidden="1" customHeight="1" outlineLevel="1" x14ac:dyDescent="0.2">
      <c r="A178" s="33"/>
      <c r="B178" s="446"/>
      <c r="C178" s="338" t="s">
        <v>222</v>
      </c>
      <c r="D178" s="352" t="s">
        <v>73</v>
      </c>
      <c r="E178" s="474"/>
      <c r="F178" s="375" t="s">
        <v>11</v>
      </c>
      <c r="G178" s="353">
        <v>0</v>
      </c>
      <c r="H178" s="353">
        <v>0</v>
      </c>
      <c r="I178" s="353">
        <v>0</v>
      </c>
      <c r="J178" s="353">
        <v>0</v>
      </c>
      <c r="K178" s="353">
        <v>0</v>
      </c>
      <c r="L178" s="354">
        <v>0</v>
      </c>
      <c r="M178" s="354">
        <v>0</v>
      </c>
      <c r="N178" s="337">
        <f t="shared" si="8"/>
        <v>0</v>
      </c>
      <c r="O178" s="354">
        <v>0</v>
      </c>
      <c r="P178" s="337">
        <v>1150</v>
      </c>
      <c r="Q178" s="353">
        <v>0</v>
      </c>
      <c r="R178" s="353">
        <v>0</v>
      </c>
      <c r="S178" s="353">
        <v>0</v>
      </c>
      <c r="T178" s="354">
        <f>700-700</f>
        <v>0</v>
      </c>
      <c r="U178" s="337">
        <f t="shared" si="9"/>
        <v>1150</v>
      </c>
    </row>
    <row r="179" spans="1:21" s="7" customFormat="1" ht="43.5" hidden="1" customHeight="1" outlineLevel="1" x14ac:dyDescent="0.2">
      <c r="A179" s="33"/>
      <c r="B179" s="446"/>
      <c r="C179" s="338" t="s">
        <v>223</v>
      </c>
      <c r="D179" s="352" t="s">
        <v>73</v>
      </c>
      <c r="E179" s="474"/>
      <c r="F179" s="375" t="s">
        <v>11</v>
      </c>
      <c r="G179" s="353">
        <v>0</v>
      </c>
      <c r="H179" s="353">
        <v>0</v>
      </c>
      <c r="I179" s="353">
        <v>0</v>
      </c>
      <c r="J179" s="353">
        <v>0</v>
      </c>
      <c r="K179" s="353">
        <v>0</v>
      </c>
      <c r="L179" s="354">
        <v>0</v>
      </c>
      <c r="M179" s="354">
        <v>0</v>
      </c>
      <c r="N179" s="337">
        <f t="shared" si="8"/>
        <v>0</v>
      </c>
      <c r="O179" s="354">
        <v>0</v>
      </c>
      <c r="P179" s="337">
        <v>420</v>
      </c>
      <c r="Q179" s="353">
        <v>0</v>
      </c>
      <c r="R179" s="353">
        <v>0</v>
      </c>
      <c r="S179" s="353">
        <v>0</v>
      </c>
      <c r="T179" s="354">
        <f>700-700</f>
        <v>0</v>
      </c>
      <c r="U179" s="337">
        <f t="shared" si="9"/>
        <v>420</v>
      </c>
    </row>
    <row r="180" spans="1:21" s="7" customFormat="1" ht="43.5" hidden="1" customHeight="1" outlineLevel="1" x14ac:dyDescent="0.2">
      <c r="A180" s="33"/>
      <c r="B180" s="446"/>
      <c r="C180" s="338" t="s">
        <v>224</v>
      </c>
      <c r="D180" s="352" t="s">
        <v>73</v>
      </c>
      <c r="E180" s="474"/>
      <c r="F180" s="375" t="s">
        <v>11</v>
      </c>
      <c r="G180" s="353">
        <v>0</v>
      </c>
      <c r="H180" s="353">
        <v>0</v>
      </c>
      <c r="I180" s="353">
        <v>0</v>
      </c>
      <c r="J180" s="353">
        <v>0</v>
      </c>
      <c r="K180" s="353">
        <v>0</v>
      </c>
      <c r="L180" s="354">
        <v>0</v>
      </c>
      <c r="M180" s="354">
        <v>0</v>
      </c>
      <c r="N180" s="337">
        <f t="shared" si="8"/>
        <v>0</v>
      </c>
      <c r="O180" s="354">
        <v>0</v>
      </c>
      <c r="P180" s="337">
        <v>5700</v>
      </c>
      <c r="Q180" s="353">
        <v>0</v>
      </c>
      <c r="R180" s="353">
        <v>0</v>
      </c>
      <c r="S180" s="353">
        <v>0</v>
      </c>
      <c r="T180" s="354">
        <f>700-700</f>
        <v>0</v>
      </c>
      <c r="U180" s="337">
        <f t="shared" si="9"/>
        <v>5700</v>
      </c>
    </row>
    <row r="181" spans="1:21" s="91" customFormat="1" ht="42" hidden="1" customHeight="1" outlineLevel="1" collapsed="1" x14ac:dyDescent="0.2">
      <c r="A181" s="33"/>
      <c r="B181" s="446"/>
      <c r="C181" s="338" t="s">
        <v>225</v>
      </c>
      <c r="D181" s="352" t="s">
        <v>73</v>
      </c>
      <c r="E181" s="474"/>
      <c r="F181" s="375" t="s">
        <v>11</v>
      </c>
      <c r="G181" s="353">
        <v>0</v>
      </c>
      <c r="H181" s="353">
        <v>0</v>
      </c>
      <c r="I181" s="353">
        <v>0</v>
      </c>
      <c r="J181" s="353">
        <v>0</v>
      </c>
      <c r="K181" s="353">
        <v>0</v>
      </c>
      <c r="L181" s="354">
        <v>0</v>
      </c>
      <c r="M181" s="354">
        <v>0</v>
      </c>
      <c r="N181" s="337">
        <f t="shared" si="8"/>
        <v>0</v>
      </c>
      <c r="O181" s="353">
        <v>0</v>
      </c>
      <c r="P181" s="353">
        <v>0</v>
      </c>
      <c r="Q181" s="353">
        <v>0</v>
      </c>
      <c r="R181" s="354">
        <v>0</v>
      </c>
      <c r="S181" s="354">
        <v>0</v>
      </c>
      <c r="T181" s="337">
        <f>8500-8500</f>
        <v>0</v>
      </c>
      <c r="U181" s="337">
        <f t="shared" si="9"/>
        <v>0</v>
      </c>
    </row>
    <row r="182" spans="1:21" s="7" customFormat="1" ht="45.75" hidden="1" customHeight="1" outlineLevel="1" x14ac:dyDescent="0.2">
      <c r="A182" s="33"/>
      <c r="B182" s="446"/>
      <c r="C182" s="338" t="s">
        <v>226</v>
      </c>
      <c r="D182" s="352" t="s">
        <v>73</v>
      </c>
      <c r="E182" s="474"/>
      <c r="F182" s="375" t="s">
        <v>11</v>
      </c>
      <c r="G182" s="353">
        <v>0</v>
      </c>
      <c r="H182" s="353">
        <v>0</v>
      </c>
      <c r="I182" s="353">
        <v>0</v>
      </c>
      <c r="J182" s="353">
        <v>0</v>
      </c>
      <c r="K182" s="353">
        <v>0</v>
      </c>
      <c r="L182" s="354">
        <v>0</v>
      </c>
      <c r="M182" s="354">
        <v>0</v>
      </c>
      <c r="N182" s="337">
        <f t="shared" si="8"/>
        <v>0</v>
      </c>
      <c r="O182" s="353">
        <v>0</v>
      </c>
      <c r="P182" s="337">
        <v>12500</v>
      </c>
      <c r="Q182" s="353">
        <v>0</v>
      </c>
      <c r="R182" s="353">
        <v>0</v>
      </c>
      <c r="S182" s="353">
        <v>0</v>
      </c>
      <c r="T182" s="354">
        <f>700-700</f>
        <v>0</v>
      </c>
      <c r="U182" s="337">
        <f t="shared" si="9"/>
        <v>12500</v>
      </c>
    </row>
    <row r="183" spans="1:21" s="7" customFormat="1" ht="41.25" hidden="1" customHeight="1" outlineLevel="1" x14ac:dyDescent="0.2">
      <c r="A183" s="33"/>
      <c r="B183" s="446"/>
      <c r="C183" s="338" t="s">
        <v>227</v>
      </c>
      <c r="D183" s="352" t="s">
        <v>73</v>
      </c>
      <c r="E183" s="474"/>
      <c r="F183" s="375" t="s">
        <v>11</v>
      </c>
      <c r="G183" s="353">
        <v>0</v>
      </c>
      <c r="H183" s="353">
        <v>0</v>
      </c>
      <c r="I183" s="353">
        <v>0</v>
      </c>
      <c r="J183" s="353">
        <v>0</v>
      </c>
      <c r="K183" s="353">
        <v>0</v>
      </c>
      <c r="L183" s="354">
        <v>0</v>
      </c>
      <c r="M183" s="354">
        <v>0</v>
      </c>
      <c r="N183" s="337">
        <f t="shared" si="8"/>
        <v>0</v>
      </c>
      <c r="O183" s="353">
        <v>0</v>
      </c>
      <c r="P183" s="337">
        <v>5400</v>
      </c>
      <c r="Q183" s="353">
        <v>0</v>
      </c>
      <c r="R183" s="353">
        <v>0</v>
      </c>
      <c r="S183" s="353">
        <v>0</v>
      </c>
      <c r="T183" s="354">
        <f>700-700</f>
        <v>0</v>
      </c>
      <c r="U183" s="337">
        <f t="shared" si="9"/>
        <v>5400</v>
      </c>
    </row>
    <row r="184" spans="1:21" s="7" customFormat="1" ht="46.5" hidden="1" customHeight="1" outlineLevel="1" x14ac:dyDescent="0.2">
      <c r="A184" s="76"/>
      <c r="B184" s="446"/>
      <c r="C184" s="338" t="s">
        <v>228</v>
      </c>
      <c r="D184" s="352" t="s">
        <v>73</v>
      </c>
      <c r="E184" s="474"/>
      <c r="F184" s="375" t="s">
        <v>11</v>
      </c>
      <c r="G184" s="353">
        <v>0</v>
      </c>
      <c r="H184" s="353">
        <v>0</v>
      </c>
      <c r="I184" s="353">
        <v>0</v>
      </c>
      <c r="J184" s="353">
        <v>0</v>
      </c>
      <c r="K184" s="353">
        <v>0</v>
      </c>
      <c r="L184" s="354">
        <v>0</v>
      </c>
      <c r="M184" s="354">
        <v>0</v>
      </c>
      <c r="N184" s="337">
        <f t="shared" si="8"/>
        <v>0</v>
      </c>
      <c r="O184" s="353">
        <v>0</v>
      </c>
      <c r="P184" s="337">
        <v>2800</v>
      </c>
      <c r="Q184" s="353">
        <v>0</v>
      </c>
      <c r="R184" s="353">
        <v>0</v>
      </c>
      <c r="S184" s="353">
        <v>0</v>
      </c>
      <c r="T184" s="354">
        <f>700-700</f>
        <v>0</v>
      </c>
      <c r="U184" s="337">
        <f t="shared" si="9"/>
        <v>2800</v>
      </c>
    </row>
    <row r="185" spans="1:21" s="7" customFormat="1" ht="40.5" hidden="1" customHeight="1" outlineLevel="1" x14ac:dyDescent="0.2">
      <c r="A185" s="33"/>
      <c r="B185" s="446"/>
      <c r="C185" s="338" t="s">
        <v>243</v>
      </c>
      <c r="D185" s="352" t="s">
        <v>73</v>
      </c>
      <c r="E185" s="474"/>
      <c r="F185" s="375" t="s">
        <v>11</v>
      </c>
      <c r="G185" s="353">
        <v>0</v>
      </c>
      <c r="H185" s="353">
        <v>0</v>
      </c>
      <c r="I185" s="353">
        <v>0</v>
      </c>
      <c r="J185" s="353">
        <v>0</v>
      </c>
      <c r="K185" s="353">
        <v>0</v>
      </c>
      <c r="L185" s="354">
        <v>0</v>
      </c>
      <c r="M185" s="354">
        <v>0</v>
      </c>
      <c r="N185" s="337">
        <f t="shared" si="8"/>
        <v>0</v>
      </c>
      <c r="O185" s="353">
        <v>0</v>
      </c>
      <c r="P185" s="337">
        <v>650</v>
      </c>
      <c r="Q185" s="353">
        <v>0</v>
      </c>
      <c r="R185" s="337">
        <v>0</v>
      </c>
      <c r="S185" s="353">
        <v>0</v>
      </c>
      <c r="T185" s="337">
        <v>824</v>
      </c>
      <c r="U185" s="337">
        <f t="shared" si="9"/>
        <v>1474</v>
      </c>
    </row>
    <row r="186" spans="1:21" s="7" customFormat="1" ht="42" hidden="1" customHeight="1" outlineLevel="1" collapsed="1" x14ac:dyDescent="0.2">
      <c r="A186" s="33"/>
      <c r="B186" s="446"/>
      <c r="C186" s="338" t="s">
        <v>148</v>
      </c>
      <c r="D186" s="352" t="s">
        <v>73</v>
      </c>
      <c r="E186" s="474"/>
      <c r="F186" s="375" t="s">
        <v>11</v>
      </c>
      <c r="G186" s="353">
        <v>0</v>
      </c>
      <c r="H186" s="353">
        <v>0</v>
      </c>
      <c r="I186" s="353">
        <v>0</v>
      </c>
      <c r="J186" s="353">
        <v>0</v>
      </c>
      <c r="K186" s="353">
        <v>0</v>
      </c>
      <c r="L186" s="354">
        <v>0</v>
      </c>
      <c r="M186" s="354">
        <v>0</v>
      </c>
      <c r="N186" s="337">
        <f t="shared" si="8"/>
        <v>0</v>
      </c>
      <c r="O186" s="353">
        <v>0</v>
      </c>
      <c r="P186" s="353">
        <v>0</v>
      </c>
      <c r="Q186" s="353">
        <v>0</v>
      </c>
      <c r="R186" s="354">
        <v>0</v>
      </c>
      <c r="S186" s="337">
        <f>667-667</f>
        <v>0</v>
      </c>
      <c r="T186" s="353">
        <v>0</v>
      </c>
      <c r="U186" s="337">
        <f t="shared" si="9"/>
        <v>0</v>
      </c>
    </row>
    <row r="187" spans="1:21" s="7" customFormat="1" ht="40.5" hidden="1" customHeight="1" outlineLevel="1" x14ac:dyDescent="0.2">
      <c r="A187" s="33"/>
      <c r="B187" s="446"/>
      <c r="C187" s="338" t="s">
        <v>149</v>
      </c>
      <c r="D187" s="352" t="s">
        <v>73</v>
      </c>
      <c r="E187" s="474"/>
      <c r="F187" s="375" t="s">
        <v>11</v>
      </c>
      <c r="G187" s="353">
        <v>0</v>
      </c>
      <c r="H187" s="353">
        <v>0</v>
      </c>
      <c r="I187" s="353">
        <v>0</v>
      </c>
      <c r="J187" s="353">
        <v>0</v>
      </c>
      <c r="K187" s="353">
        <v>0</v>
      </c>
      <c r="L187" s="354">
        <v>0</v>
      </c>
      <c r="M187" s="354">
        <v>0</v>
      </c>
      <c r="N187" s="337">
        <f t="shared" si="8"/>
        <v>0</v>
      </c>
      <c r="O187" s="353">
        <v>0</v>
      </c>
      <c r="P187" s="353">
        <v>0</v>
      </c>
      <c r="Q187" s="353">
        <v>0</v>
      </c>
      <c r="R187" s="354">
        <v>0</v>
      </c>
      <c r="S187" s="337">
        <f>120-120</f>
        <v>0</v>
      </c>
      <c r="T187" s="353">
        <v>0</v>
      </c>
      <c r="U187" s="337">
        <f t="shared" si="9"/>
        <v>0</v>
      </c>
    </row>
    <row r="188" spans="1:21" s="7" customFormat="1" ht="41.25" hidden="1" customHeight="1" outlineLevel="1" x14ac:dyDescent="0.2">
      <c r="A188" s="33"/>
      <c r="B188" s="446"/>
      <c r="C188" s="342" t="s">
        <v>287</v>
      </c>
      <c r="D188" s="352" t="s">
        <v>73</v>
      </c>
      <c r="E188" s="474"/>
      <c r="F188" s="375" t="s">
        <v>11</v>
      </c>
      <c r="G188" s="353">
        <v>0</v>
      </c>
      <c r="H188" s="353">
        <v>0</v>
      </c>
      <c r="I188" s="353">
        <v>0</v>
      </c>
      <c r="J188" s="353">
        <v>0</v>
      </c>
      <c r="K188" s="353">
        <v>0</v>
      </c>
      <c r="L188" s="354">
        <v>0</v>
      </c>
      <c r="M188" s="354">
        <v>0</v>
      </c>
      <c r="N188" s="337">
        <f t="shared" si="8"/>
        <v>0</v>
      </c>
      <c r="O188" s="353">
        <v>0</v>
      </c>
      <c r="P188" s="353">
        <v>0</v>
      </c>
      <c r="Q188" s="354">
        <v>0</v>
      </c>
      <c r="R188" s="337">
        <f>160-160</f>
        <v>0</v>
      </c>
      <c r="S188" s="353">
        <v>0</v>
      </c>
      <c r="T188" s="337">
        <v>179</v>
      </c>
      <c r="U188" s="337">
        <f t="shared" si="9"/>
        <v>179</v>
      </c>
    </row>
    <row r="189" spans="1:21" s="7" customFormat="1" ht="39" hidden="1" customHeight="1" outlineLevel="1" x14ac:dyDescent="0.2">
      <c r="A189" s="33"/>
      <c r="B189" s="446"/>
      <c r="C189" s="343" t="s">
        <v>150</v>
      </c>
      <c r="D189" s="355" t="s">
        <v>73</v>
      </c>
      <c r="E189" s="474"/>
      <c r="F189" s="375" t="s">
        <v>11</v>
      </c>
      <c r="G189" s="353">
        <v>0</v>
      </c>
      <c r="H189" s="353">
        <v>0</v>
      </c>
      <c r="I189" s="353">
        <v>0</v>
      </c>
      <c r="J189" s="353">
        <v>0</v>
      </c>
      <c r="K189" s="353">
        <v>0</v>
      </c>
      <c r="L189" s="354">
        <v>0</v>
      </c>
      <c r="M189" s="354">
        <v>0</v>
      </c>
      <c r="N189" s="337">
        <f t="shared" si="8"/>
        <v>0</v>
      </c>
      <c r="O189" s="353">
        <v>0</v>
      </c>
      <c r="P189" s="353">
        <v>0</v>
      </c>
      <c r="Q189" s="354">
        <v>0</v>
      </c>
      <c r="R189" s="337">
        <f>120-120</f>
        <v>0</v>
      </c>
      <c r="S189" s="353">
        <v>0</v>
      </c>
      <c r="T189" s="354">
        <v>0</v>
      </c>
      <c r="U189" s="337">
        <f t="shared" si="9"/>
        <v>0</v>
      </c>
    </row>
    <row r="190" spans="1:21" s="7" customFormat="1" ht="45" hidden="1" customHeight="1" outlineLevel="1" x14ac:dyDescent="0.2">
      <c r="A190" s="33"/>
      <c r="B190" s="446"/>
      <c r="C190" s="338" t="s">
        <v>151</v>
      </c>
      <c r="D190" s="352" t="s">
        <v>73</v>
      </c>
      <c r="E190" s="474"/>
      <c r="F190" s="375" t="s">
        <v>11</v>
      </c>
      <c r="G190" s="353">
        <v>0</v>
      </c>
      <c r="H190" s="353">
        <v>0</v>
      </c>
      <c r="I190" s="353">
        <v>0</v>
      </c>
      <c r="J190" s="353">
        <v>0</v>
      </c>
      <c r="K190" s="353">
        <v>0</v>
      </c>
      <c r="L190" s="354">
        <v>0</v>
      </c>
      <c r="M190" s="354">
        <v>0</v>
      </c>
      <c r="N190" s="337">
        <f t="shared" si="8"/>
        <v>0</v>
      </c>
      <c r="O190" s="353">
        <v>0</v>
      </c>
      <c r="P190" s="353">
        <v>0</v>
      </c>
      <c r="Q190" s="353">
        <v>0</v>
      </c>
      <c r="R190" s="354">
        <v>0</v>
      </c>
      <c r="S190" s="337">
        <f>154-154</f>
        <v>0</v>
      </c>
      <c r="T190" s="353">
        <v>0</v>
      </c>
      <c r="U190" s="337">
        <f t="shared" si="9"/>
        <v>0</v>
      </c>
    </row>
    <row r="191" spans="1:21" s="7" customFormat="1" ht="42.75" hidden="1" customHeight="1" outlineLevel="1" x14ac:dyDescent="0.2">
      <c r="A191" s="33"/>
      <c r="B191" s="446"/>
      <c r="C191" s="338" t="s">
        <v>230</v>
      </c>
      <c r="D191" s="352" t="s">
        <v>73</v>
      </c>
      <c r="E191" s="474"/>
      <c r="F191" s="375" t="s">
        <v>11</v>
      </c>
      <c r="G191" s="353">
        <v>0</v>
      </c>
      <c r="H191" s="353">
        <v>0</v>
      </c>
      <c r="I191" s="353">
        <v>0</v>
      </c>
      <c r="J191" s="353">
        <v>0</v>
      </c>
      <c r="K191" s="353">
        <v>0</v>
      </c>
      <c r="L191" s="354">
        <v>0</v>
      </c>
      <c r="M191" s="354">
        <v>0</v>
      </c>
      <c r="N191" s="337">
        <f t="shared" si="8"/>
        <v>0</v>
      </c>
      <c r="O191" s="353">
        <v>0</v>
      </c>
      <c r="P191" s="353">
        <v>0</v>
      </c>
      <c r="Q191" s="353">
        <v>0</v>
      </c>
      <c r="R191" s="354">
        <v>0</v>
      </c>
      <c r="S191" s="337">
        <f>1343-1343</f>
        <v>0</v>
      </c>
      <c r="T191" s="353">
        <v>0</v>
      </c>
      <c r="U191" s="337">
        <f t="shared" si="9"/>
        <v>0</v>
      </c>
    </row>
    <row r="192" spans="1:21" s="7" customFormat="1" ht="39" hidden="1" customHeight="1" outlineLevel="1" x14ac:dyDescent="0.2">
      <c r="A192" s="33"/>
      <c r="B192" s="446"/>
      <c r="C192" s="338" t="s">
        <v>288</v>
      </c>
      <c r="D192" s="352" t="s">
        <v>73</v>
      </c>
      <c r="E192" s="474"/>
      <c r="F192" s="375" t="s">
        <v>11</v>
      </c>
      <c r="G192" s="353">
        <v>0</v>
      </c>
      <c r="H192" s="353">
        <v>0</v>
      </c>
      <c r="I192" s="353">
        <v>0</v>
      </c>
      <c r="J192" s="353">
        <v>0</v>
      </c>
      <c r="K192" s="353">
        <v>0</v>
      </c>
      <c r="L192" s="354">
        <v>0</v>
      </c>
      <c r="M192" s="354">
        <v>0</v>
      </c>
      <c r="N192" s="337">
        <f t="shared" si="8"/>
        <v>0</v>
      </c>
      <c r="O192" s="353">
        <v>0</v>
      </c>
      <c r="P192" s="353">
        <v>0</v>
      </c>
      <c r="Q192" s="353">
        <v>0</v>
      </c>
      <c r="R192" s="354">
        <v>0</v>
      </c>
      <c r="S192" s="337">
        <f>150-150</f>
        <v>0</v>
      </c>
      <c r="T192" s="353">
        <v>0</v>
      </c>
      <c r="U192" s="337">
        <f t="shared" si="9"/>
        <v>0</v>
      </c>
    </row>
    <row r="193" spans="1:21" s="7" customFormat="1" ht="43.5" hidden="1" customHeight="1" outlineLevel="1" x14ac:dyDescent="0.2">
      <c r="A193" s="33"/>
      <c r="B193" s="446"/>
      <c r="C193" s="338" t="s">
        <v>289</v>
      </c>
      <c r="D193" s="352" t="s">
        <v>73</v>
      </c>
      <c r="E193" s="474"/>
      <c r="F193" s="375" t="s">
        <v>11</v>
      </c>
      <c r="G193" s="353">
        <v>0</v>
      </c>
      <c r="H193" s="353">
        <v>0</v>
      </c>
      <c r="I193" s="353">
        <v>0</v>
      </c>
      <c r="J193" s="353">
        <v>0</v>
      </c>
      <c r="K193" s="353">
        <v>0</v>
      </c>
      <c r="L193" s="354">
        <v>0</v>
      </c>
      <c r="M193" s="354">
        <v>0</v>
      </c>
      <c r="N193" s="337">
        <f t="shared" si="8"/>
        <v>0</v>
      </c>
      <c r="O193" s="353">
        <v>0</v>
      </c>
      <c r="P193" s="353">
        <v>0</v>
      </c>
      <c r="Q193" s="353">
        <v>0</v>
      </c>
      <c r="R193" s="354">
        <v>0</v>
      </c>
      <c r="S193" s="353">
        <v>0</v>
      </c>
      <c r="T193" s="337">
        <v>190</v>
      </c>
      <c r="U193" s="337">
        <f t="shared" si="9"/>
        <v>190</v>
      </c>
    </row>
    <row r="194" spans="1:21" s="7" customFormat="1" ht="39.75" hidden="1" customHeight="1" outlineLevel="1" collapsed="1" x14ac:dyDescent="0.2">
      <c r="A194" s="33"/>
      <c r="B194" s="446"/>
      <c r="C194" s="338" t="s">
        <v>290</v>
      </c>
      <c r="D194" s="352" t="s">
        <v>73</v>
      </c>
      <c r="E194" s="474"/>
      <c r="F194" s="375" t="s">
        <v>11</v>
      </c>
      <c r="G194" s="353">
        <v>0</v>
      </c>
      <c r="H194" s="353">
        <v>0</v>
      </c>
      <c r="I194" s="353">
        <v>0</v>
      </c>
      <c r="J194" s="353">
        <v>0</v>
      </c>
      <c r="K194" s="353">
        <v>0</v>
      </c>
      <c r="L194" s="354">
        <v>0</v>
      </c>
      <c r="M194" s="354">
        <v>0</v>
      </c>
      <c r="N194" s="337">
        <f t="shared" si="8"/>
        <v>0</v>
      </c>
      <c r="O194" s="353">
        <v>0</v>
      </c>
      <c r="P194" s="353">
        <v>0</v>
      </c>
      <c r="Q194" s="353">
        <v>0</v>
      </c>
      <c r="R194" s="354">
        <v>0</v>
      </c>
      <c r="S194" s="337">
        <f>134-134</f>
        <v>0</v>
      </c>
      <c r="T194" s="353">
        <v>0</v>
      </c>
      <c r="U194" s="337">
        <f t="shared" si="9"/>
        <v>0</v>
      </c>
    </row>
    <row r="195" spans="1:21" s="7" customFormat="1" ht="37.5" hidden="1" customHeight="1" outlineLevel="1" x14ac:dyDescent="0.2">
      <c r="A195" s="33"/>
      <c r="B195" s="446"/>
      <c r="C195" s="338" t="s">
        <v>291</v>
      </c>
      <c r="D195" s="352" t="s">
        <v>73</v>
      </c>
      <c r="E195" s="474"/>
      <c r="F195" s="375" t="s">
        <v>11</v>
      </c>
      <c r="G195" s="353">
        <v>0</v>
      </c>
      <c r="H195" s="353">
        <v>0</v>
      </c>
      <c r="I195" s="353">
        <v>0</v>
      </c>
      <c r="J195" s="353">
        <v>0</v>
      </c>
      <c r="K195" s="353">
        <v>0</v>
      </c>
      <c r="L195" s="354">
        <v>0</v>
      </c>
      <c r="M195" s="354">
        <v>0</v>
      </c>
      <c r="N195" s="337">
        <f t="shared" si="8"/>
        <v>0</v>
      </c>
      <c r="O195" s="353">
        <v>0</v>
      </c>
      <c r="P195" s="353">
        <v>0</v>
      </c>
      <c r="Q195" s="353">
        <v>0</v>
      </c>
      <c r="R195" s="354">
        <v>0</v>
      </c>
      <c r="S195" s="337">
        <f>196-196</f>
        <v>0</v>
      </c>
      <c r="T195" s="353">
        <v>0</v>
      </c>
      <c r="U195" s="337">
        <f t="shared" si="9"/>
        <v>0</v>
      </c>
    </row>
    <row r="196" spans="1:21" s="91" customFormat="1" ht="40.5" hidden="1" customHeight="1" outlineLevel="1" x14ac:dyDescent="0.2">
      <c r="A196" s="33"/>
      <c r="B196" s="446"/>
      <c r="C196" s="338" t="s">
        <v>152</v>
      </c>
      <c r="D196" s="352" t="s">
        <v>73</v>
      </c>
      <c r="E196" s="474"/>
      <c r="F196" s="375" t="s">
        <v>11</v>
      </c>
      <c r="G196" s="353">
        <v>0</v>
      </c>
      <c r="H196" s="353">
        <v>0</v>
      </c>
      <c r="I196" s="353">
        <v>0</v>
      </c>
      <c r="J196" s="353">
        <v>0</v>
      </c>
      <c r="K196" s="353">
        <v>0</v>
      </c>
      <c r="L196" s="354">
        <v>0</v>
      </c>
      <c r="M196" s="354">
        <v>0</v>
      </c>
      <c r="N196" s="337">
        <f t="shared" si="8"/>
        <v>0</v>
      </c>
      <c r="O196" s="353">
        <v>0</v>
      </c>
      <c r="P196" s="353">
        <v>0</v>
      </c>
      <c r="Q196" s="353">
        <v>0</v>
      </c>
      <c r="R196" s="354">
        <v>0</v>
      </c>
      <c r="S196" s="337">
        <f>5600-5600</f>
        <v>0</v>
      </c>
      <c r="T196" s="353">
        <v>0</v>
      </c>
      <c r="U196" s="337">
        <f t="shared" si="9"/>
        <v>0</v>
      </c>
    </row>
    <row r="197" spans="1:21" s="91" customFormat="1" ht="40.5" hidden="1" customHeight="1" outlineLevel="1" x14ac:dyDescent="0.2">
      <c r="A197" s="33"/>
      <c r="B197" s="446"/>
      <c r="C197" s="342" t="s">
        <v>280</v>
      </c>
      <c r="D197" s="352" t="s">
        <v>73</v>
      </c>
      <c r="E197" s="474"/>
      <c r="F197" s="375" t="s">
        <v>11</v>
      </c>
      <c r="G197" s="353">
        <v>0</v>
      </c>
      <c r="H197" s="353">
        <v>0</v>
      </c>
      <c r="I197" s="353">
        <v>0</v>
      </c>
      <c r="J197" s="353">
        <v>0</v>
      </c>
      <c r="K197" s="353">
        <v>0</v>
      </c>
      <c r="L197" s="354">
        <v>0</v>
      </c>
      <c r="M197" s="354">
        <v>0</v>
      </c>
      <c r="N197" s="337">
        <f t="shared" si="8"/>
        <v>0</v>
      </c>
      <c r="O197" s="353">
        <v>0</v>
      </c>
      <c r="P197" s="353">
        <v>0</v>
      </c>
      <c r="Q197" s="353">
        <v>0</v>
      </c>
      <c r="R197" s="354">
        <v>0</v>
      </c>
      <c r="S197" s="337">
        <f>3358-3358</f>
        <v>0</v>
      </c>
      <c r="T197" s="353">
        <v>0</v>
      </c>
      <c r="U197" s="337">
        <f t="shared" si="9"/>
        <v>0</v>
      </c>
    </row>
    <row r="198" spans="1:21" s="7" customFormat="1" ht="44.25" hidden="1" customHeight="1" outlineLevel="1" x14ac:dyDescent="0.2">
      <c r="A198" s="33"/>
      <c r="B198" s="446"/>
      <c r="C198" s="343" t="s">
        <v>153</v>
      </c>
      <c r="D198" s="355" t="s">
        <v>73</v>
      </c>
      <c r="E198" s="474"/>
      <c r="F198" s="376" t="s">
        <v>11</v>
      </c>
      <c r="G198" s="356">
        <v>0</v>
      </c>
      <c r="H198" s="356">
        <v>0</v>
      </c>
      <c r="I198" s="356">
        <v>0</v>
      </c>
      <c r="J198" s="356">
        <v>0</v>
      </c>
      <c r="K198" s="356">
        <v>0</v>
      </c>
      <c r="L198" s="357">
        <v>0</v>
      </c>
      <c r="M198" s="357">
        <v>0</v>
      </c>
      <c r="N198" s="351">
        <f t="shared" si="8"/>
        <v>0</v>
      </c>
      <c r="O198" s="356">
        <v>0</v>
      </c>
      <c r="P198" s="356">
        <v>0</v>
      </c>
      <c r="Q198" s="356">
        <v>0</v>
      </c>
      <c r="R198" s="357">
        <v>0</v>
      </c>
      <c r="S198" s="357">
        <v>0</v>
      </c>
      <c r="T198" s="351">
        <v>300</v>
      </c>
      <c r="U198" s="351">
        <f t="shared" si="9"/>
        <v>300</v>
      </c>
    </row>
    <row r="199" spans="1:21" s="7" customFormat="1" ht="71.25" hidden="1" customHeight="1" outlineLevel="1" x14ac:dyDescent="0.2">
      <c r="A199" s="33"/>
      <c r="B199" s="446"/>
      <c r="C199" s="338" t="s">
        <v>232</v>
      </c>
      <c r="D199" s="352" t="s">
        <v>73</v>
      </c>
      <c r="E199" s="474"/>
      <c r="F199" s="375" t="s">
        <v>11</v>
      </c>
      <c r="G199" s="353">
        <v>0</v>
      </c>
      <c r="H199" s="353">
        <v>0</v>
      </c>
      <c r="I199" s="353">
        <v>0</v>
      </c>
      <c r="J199" s="353">
        <v>0</v>
      </c>
      <c r="K199" s="353">
        <v>0</v>
      </c>
      <c r="L199" s="354">
        <v>0</v>
      </c>
      <c r="M199" s="354">
        <v>0</v>
      </c>
      <c r="N199" s="337">
        <f t="shared" si="8"/>
        <v>0</v>
      </c>
      <c r="O199" s="353">
        <v>0</v>
      </c>
      <c r="P199" s="337">
        <v>800</v>
      </c>
      <c r="Q199" s="353">
        <v>0</v>
      </c>
      <c r="R199" s="354">
        <v>0</v>
      </c>
      <c r="S199" s="354">
        <v>0</v>
      </c>
      <c r="T199" s="353">
        <v>0</v>
      </c>
      <c r="U199" s="337">
        <f t="shared" si="9"/>
        <v>800</v>
      </c>
    </row>
    <row r="200" spans="1:21" s="7" customFormat="1" ht="69" hidden="1" customHeight="1" outlineLevel="1" collapsed="1" x14ac:dyDescent="0.2">
      <c r="A200" s="33"/>
      <c r="B200" s="446"/>
      <c r="C200" s="338" t="s">
        <v>281</v>
      </c>
      <c r="D200" s="352" t="s">
        <v>73</v>
      </c>
      <c r="E200" s="474"/>
      <c r="F200" s="375" t="s">
        <v>11</v>
      </c>
      <c r="G200" s="353">
        <v>0</v>
      </c>
      <c r="H200" s="353">
        <v>0</v>
      </c>
      <c r="I200" s="353">
        <v>0</v>
      </c>
      <c r="J200" s="353">
        <v>0</v>
      </c>
      <c r="K200" s="353">
        <v>0</v>
      </c>
      <c r="L200" s="354">
        <v>0</v>
      </c>
      <c r="M200" s="354">
        <v>0</v>
      </c>
      <c r="N200" s="337">
        <f t="shared" si="8"/>
        <v>0</v>
      </c>
      <c r="O200" s="353">
        <v>0</v>
      </c>
      <c r="P200" s="353">
        <v>0</v>
      </c>
      <c r="Q200" s="337">
        <f>25000-25000</f>
        <v>0</v>
      </c>
      <c r="R200" s="354">
        <v>0</v>
      </c>
      <c r="S200" s="354">
        <v>0</v>
      </c>
      <c r="T200" s="353">
        <v>0</v>
      </c>
      <c r="U200" s="337">
        <f t="shared" si="9"/>
        <v>0</v>
      </c>
    </row>
    <row r="201" spans="1:21" s="7" customFormat="1" ht="25.5" hidden="1" customHeight="1" outlineLevel="1" x14ac:dyDescent="0.2">
      <c r="A201" s="33"/>
      <c r="B201" s="446"/>
      <c r="C201" s="358" t="s">
        <v>245</v>
      </c>
      <c r="D201" s="359" t="s">
        <v>73</v>
      </c>
      <c r="E201" s="474"/>
      <c r="F201" s="377" t="s">
        <v>11</v>
      </c>
      <c r="G201" s="360">
        <v>0</v>
      </c>
      <c r="H201" s="360">
        <v>0</v>
      </c>
      <c r="I201" s="360">
        <v>0</v>
      </c>
      <c r="J201" s="360">
        <v>0</v>
      </c>
      <c r="K201" s="360">
        <v>0</v>
      </c>
      <c r="L201" s="361">
        <v>0</v>
      </c>
      <c r="M201" s="361">
        <v>0</v>
      </c>
      <c r="N201" s="362">
        <f t="shared" si="8"/>
        <v>0</v>
      </c>
      <c r="O201" s="360">
        <v>0</v>
      </c>
      <c r="P201" s="362">
        <v>2663.3</v>
      </c>
      <c r="Q201" s="360">
        <v>0</v>
      </c>
      <c r="R201" s="361">
        <v>0</v>
      </c>
      <c r="S201" s="361">
        <v>0</v>
      </c>
      <c r="T201" s="360">
        <v>0</v>
      </c>
      <c r="U201" s="362">
        <f t="shared" si="9"/>
        <v>2663.3</v>
      </c>
    </row>
    <row r="202" spans="1:21" s="7" customFormat="1" ht="57" hidden="1" customHeight="1" outlineLevel="1" collapsed="1" x14ac:dyDescent="0.2">
      <c r="A202" s="33"/>
      <c r="B202" s="446"/>
      <c r="C202" s="338" t="s">
        <v>275</v>
      </c>
      <c r="D202" s="352" t="s">
        <v>73</v>
      </c>
      <c r="E202" s="474"/>
      <c r="F202" s="375" t="s">
        <v>11</v>
      </c>
      <c r="G202" s="353">
        <v>0</v>
      </c>
      <c r="H202" s="353">
        <v>0</v>
      </c>
      <c r="I202" s="353">
        <v>0</v>
      </c>
      <c r="J202" s="353">
        <v>0</v>
      </c>
      <c r="K202" s="353">
        <v>0</v>
      </c>
      <c r="L202" s="354">
        <v>0</v>
      </c>
      <c r="M202" s="354">
        <v>0</v>
      </c>
      <c r="N202" s="337">
        <f t="shared" si="8"/>
        <v>0</v>
      </c>
      <c r="O202" s="353">
        <v>0</v>
      </c>
      <c r="P202" s="353">
        <v>0</v>
      </c>
      <c r="Q202" s="337">
        <f>250000-250000</f>
        <v>0</v>
      </c>
      <c r="R202" s="354">
        <v>0</v>
      </c>
      <c r="S202" s="354">
        <v>0</v>
      </c>
      <c r="T202" s="353">
        <v>0</v>
      </c>
      <c r="U202" s="337">
        <f t="shared" si="9"/>
        <v>0</v>
      </c>
    </row>
    <row r="203" spans="1:21" s="7" customFormat="1" ht="43.5" hidden="1" customHeight="1" outlineLevel="1" x14ac:dyDescent="0.2">
      <c r="A203" s="76"/>
      <c r="B203" s="446"/>
      <c r="C203" s="342" t="s">
        <v>244</v>
      </c>
      <c r="D203" s="352" t="s">
        <v>73</v>
      </c>
      <c r="E203" s="474"/>
      <c r="F203" s="375" t="s">
        <v>11</v>
      </c>
      <c r="G203" s="353">
        <v>0</v>
      </c>
      <c r="H203" s="353">
        <v>0</v>
      </c>
      <c r="I203" s="353">
        <v>0</v>
      </c>
      <c r="J203" s="353">
        <v>0</v>
      </c>
      <c r="K203" s="353">
        <v>0</v>
      </c>
      <c r="L203" s="354">
        <v>0</v>
      </c>
      <c r="M203" s="354">
        <v>0</v>
      </c>
      <c r="N203" s="337">
        <f t="shared" si="8"/>
        <v>0</v>
      </c>
      <c r="O203" s="353">
        <v>0</v>
      </c>
      <c r="P203" s="337">
        <v>100</v>
      </c>
      <c r="Q203" s="353">
        <v>0</v>
      </c>
      <c r="R203" s="354">
        <v>0</v>
      </c>
      <c r="S203" s="354">
        <v>0</v>
      </c>
      <c r="T203" s="353">
        <v>0</v>
      </c>
      <c r="U203" s="337">
        <f t="shared" si="9"/>
        <v>100</v>
      </c>
    </row>
    <row r="204" spans="1:21" s="7" customFormat="1" ht="42.75" hidden="1" customHeight="1" outlineLevel="1" x14ac:dyDescent="0.2">
      <c r="A204" s="33"/>
      <c r="B204" s="446"/>
      <c r="C204" s="343" t="s">
        <v>154</v>
      </c>
      <c r="D204" s="355" t="s">
        <v>73</v>
      </c>
      <c r="E204" s="474"/>
      <c r="F204" s="375" t="s">
        <v>11</v>
      </c>
      <c r="G204" s="353">
        <v>0</v>
      </c>
      <c r="H204" s="353">
        <v>0</v>
      </c>
      <c r="I204" s="353">
        <v>0</v>
      </c>
      <c r="J204" s="353">
        <v>0</v>
      </c>
      <c r="K204" s="353">
        <v>0</v>
      </c>
      <c r="L204" s="354">
        <v>0</v>
      </c>
      <c r="M204" s="354">
        <v>0</v>
      </c>
      <c r="N204" s="337">
        <f t="shared" si="8"/>
        <v>0</v>
      </c>
      <c r="O204" s="353">
        <v>0</v>
      </c>
      <c r="P204" s="337">
        <v>1950.5</v>
      </c>
      <c r="Q204" s="353">
        <v>0</v>
      </c>
      <c r="R204" s="354">
        <v>0</v>
      </c>
      <c r="S204" s="354">
        <v>0</v>
      </c>
      <c r="T204" s="353">
        <v>0</v>
      </c>
      <c r="U204" s="337">
        <f t="shared" si="9"/>
        <v>1950.5</v>
      </c>
    </row>
    <row r="205" spans="1:21" s="7" customFormat="1" ht="68.25" hidden="1" customHeight="1" outlineLevel="1" collapsed="1" x14ac:dyDescent="0.2">
      <c r="A205" s="76"/>
      <c r="B205" s="446"/>
      <c r="C205" s="338" t="s">
        <v>261</v>
      </c>
      <c r="D205" s="352" t="s">
        <v>73</v>
      </c>
      <c r="E205" s="474"/>
      <c r="F205" s="375" t="s">
        <v>11</v>
      </c>
      <c r="G205" s="353">
        <v>0</v>
      </c>
      <c r="H205" s="353">
        <v>0</v>
      </c>
      <c r="I205" s="353">
        <v>0</v>
      </c>
      <c r="J205" s="353">
        <v>0</v>
      </c>
      <c r="K205" s="353">
        <v>0</v>
      </c>
      <c r="L205" s="354">
        <v>0</v>
      </c>
      <c r="M205" s="354">
        <v>0</v>
      </c>
      <c r="N205" s="337">
        <f t="shared" si="8"/>
        <v>0</v>
      </c>
      <c r="O205" s="353">
        <v>0</v>
      </c>
      <c r="P205" s="337">
        <v>0</v>
      </c>
      <c r="Q205" s="353">
        <f>120-120</f>
        <v>0</v>
      </c>
      <c r="R205" s="354">
        <v>0</v>
      </c>
      <c r="S205" s="354">
        <v>0</v>
      </c>
      <c r="T205" s="353">
        <v>0</v>
      </c>
      <c r="U205" s="337">
        <f t="shared" si="9"/>
        <v>0</v>
      </c>
    </row>
    <row r="206" spans="1:21" s="7" customFormat="1" ht="67.5" hidden="1" customHeight="1" outlineLevel="1" x14ac:dyDescent="0.2">
      <c r="A206" s="33"/>
      <c r="B206" s="446"/>
      <c r="C206" s="338" t="s">
        <v>203</v>
      </c>
      <c r="D206" s="352" t="s">
        <v>73</v>
      </c>
      <c r="E206" s="474"/>
      <c r="F206" s="375" t="s">
        <v>11</v>
      </c>
      <c r="G206" s="353">
        <v>0</v>
      </c>
      <c r="H206" s="353">
        <v>0</v>
      </c>
      <c r="I206" s="353">
        <v>0</v>
      </c>
      <c r="J206" s="353">
        <v>0</v>
      </c>
      <c r="K206" s="353">
        <v>0</v>
      </c>
      <c r="L206" s="354">
        <v>0</v>
      </c>
      <c r="M206" s="354">
        <v>0</v>
      </c>
      <c r="N206" s="337">
        <f t="shared" si="8"/>
        <v>0</v>
      </c>
      <c r="O206" s="353">
        <v>0</v>
      </c>
      <c r="P206" s="337">
        <v>0</v>
      </c>
      <c r="Q206" s="353">
        <f>2280-2280</f>
        <v>0</v>
      </c>
      <c r="R206" s="354">
        <v>0</v>
      </c>
      <c r="S206" s="354">
        <v>0</v>
      </c>
      <c r="T206" s="353">
        <v>0</v>
      </c>
      <c r="U206" s="337">
        <f t="shared" si="9"/>
        <v>0</v>
      </c>
    </row>
    <row r="207" spans="1:21" s="7" customFormat="1" ht="77.25" hidden="1" customHeight="1" outlineLevel="1" x14ac:dyDescent="0.2">
      <c r="A207" s="33"/>
      <c r="B207" s="446"/>
      <c r="C207" s="338" t="s">
        <v>247</v>
      </c>
      <c r="D207" s="352" t="s">
        <v>73</v>
      </c>
      <c r="E207" s="474"/>
      <c r="F207" s="375" t="s">
        <v>11</v>
      </c>
      <c r="G207" s="353">
        <v>0</v>
      </c>
      <c r="H207" s="353">
        <v>0</v>
      </c>
      <c r="I207" s="353">
        <v>0</v>
      </c>
      <c r="J207" s="353">
        <v>0</v>
      </c>
      <c r="K207" s="353">
        <v>0</v>
      </c>
      <c r="L207" s="354">
        <v>0</v>
      </c>
      <c r="M207" s="354">
        <v>0</v>
      </c>
      <c r="N207" s="337">
        <f t="shared" si="8"/>
        <v>0</v>
      </c>
      <c r="O207" s="353">
        <v>0</v>
      </c>
      <c r="P207" s="337">
        <v>0</v>
      </c>
      <c r="Q207" s="353">
        <f>120-120</f>
        <v>0</v>
      </c>
      <c r="R207" s="354">
        <v>0</v>
      </c>
      <c r="S207" s="354">
        <v>0</v>
      </c>
      <c r="T207" s="353">
        <v>0</v>
      </c>
      <c r="U207" s="337">
        <f t="shared" si="9"/>
        <v>0</v>
      </c>
    </row>
    <row r="208" spans="1:21" s="7" customFormat="1" ht="72.75" hidden="1" customHeight="1" outlineLevel="1" x14ac:dyDescent="0.2">
      <c r="A208" s="33"/>
      <c r="B208" s="446"/>
      <c r="C208" s="338" t="s">
        <v>214</v>
      </c>
      <c r="D208" s="352" t="s">
        <v>73</v>
      </c>
      <c r="E208" s="474"/>
      <c r="F208" s="375" t="s">
        <v>11</v>
      </c>
      <c r="G208" s="353">
        <v>0</v>
      </c>
      <c r="H208" s="353">
        <v>0</v>
      </c>
      <c r="I208" s="353">
        <v>0</v>
      </c>
      <c r="J208" s="353">
        <v>0</v>
      </c>
      <c r="K208" s="353">
        <v>0</v>
      </c>
      <c r="L208" s="354">
        <v>0</v>
      </c>
      <c r="M208" s="354">
        <v>0</v>
      </c>
      <c r="N208" s="337">
        <f t="shared" si="8"/>
        <v>0</v>
      </c>
      <c r="O208" s="353">
        <v>0</v>
      </c>
      <c r="P208" s="337">
        <v>0</v>
      </c>
      <c r="Q208" s="353">
        <f>2380-2380</f>
        <v>0</v>
      </c>
      <c r="R208" s="354">
        <v>0</v>
      </c>
      <c r="S208" s="354">
        <v>0</v>
      </c>
      <c r="T208" s="353">
        <v>0</v>
      </c>
      <c r="U208" s="337">
        <f t="shared" si="9"/>
        <v>0</v>
      </c>
    </row>
    <row r="209" spans="1:21" s="7" customFormat="1" ht="56.25" hidden="1" customHeight="1" outlineLevel="1" x14ac:dyDescent="0.2">
      <c r="A209" s="33"/>
      <c r="B209" s="446"/>
      <c r="C209" s="338" t="s">
        <v>240</v>
      </c>
      <c r="D209" s="352" t="s">
        <v>73</v>
      </c>
      <c r="E209" s="474"/>
      <c r="F209" s="375" t="s">
        <v>11</v>
      </c>
      <c r="G209" s="353">
        <v>0</v>
      </c>
      <c r="H209" s="353">
        <v>0</v>
      </c>
      <c r="I209" s="353">
        <v>0</v>
      </c>
      <c r="J209" s="353">
        <v>0</v>
      </c>
      <c r="K209" s="353">
        <v>0</v>
      </c>
      <c r="L209" s="354">
        <v>0</v>
      </c>
      <c r="M209" s="354">
        <v>0</v>
      </c>
      <c r="N209" s="337">
        <f t="shared" si="8"/>
        <v>0</v>
      </c>
      <c r="O209" s="353">
        <v>0</v>
      </c>
      <c r="P209" s="354">
        <v>0</v>
      </c>
      <c r="Q209" s="353">
        <v>0</v>
      </c>
      <c r="R209" s="354">
        <f>370-370</f>
        <v>0</v>
      </c>
      <c r="S209" s="354">
        <v>0</v>
      </c>
      <c r="T209" s="353">
        <v>0</v>
      </c>
      <c r="U209" s="337">
        <f t="shared" si="9"/>
        <v>0</v>
      </c>
    </row>
    <row r="210" spans="1:21" s="7" customFormat="1" ht="71.25" hidden="1" customHeight="1" outlineLevel="1" x14ac:dyDescent="0.2">
      <c r="A210" s="33"/>
      <c r="B210" s="446"/>
      <c r="C210" s="342" t="s">
        <v>246</v>
      </c>
      <c r="D210" s="352" t="s">
        <v>73</v>
      </c>
      <c r="E210" s="474"/>
      <c r="F210" s="375" t="s">
        <v>11</v>
      </c>
      <c r="G210" s="353">
        <v>0</v>
      </c>
      <c r="H210" s="353">
        <v>0</v>
      </c>
      <c r="I210" s="353">
        <v>0</v>
      </c>
      <c r="J210" s="353">
        <v>0</v>
      </c>
      <c r="K210" s="353">
        <v>0</v>
      </c>
      <c r="L210" s="354">
        <v>0</v>
      </c>
      <c r="M210" s="354">
        <v>0</v>
      </c>
      <c r="N210" s="337">
        <f t="shared" si="8"/>
        <v>0</v>
      </c>
      <c r="O210" s="353">
        <v>0</v>
      </c>
      <c r="P210" s="354">
        <v>0</v>
      </c>
      <c r="Q210" s="353">
        <v>0</v>
      </c>
      <c r="R210" s="337">
        <f>10622.3-10622.3</f>
        <v>0</v>
      </c>
      <c r="S210" s="354">
        <v>0</v>
      </c>
      <c r="T210" s="353">
        <v>0</v>
      </c>
      <c r="U210" s="337">
        <f t="shared" si="9"/>
        <v>0</v>
      </c>
    </row>
    <row r="211" spans="1:21" s="7" customFormat="1" ht="61.5" hidden="1" customHeight="1" outlineLevel="1" x14ac:dyDescent="0.2">
      <c r="A211" s="33"/>
      <c r="B211" s="446"/>
      <c r="C211" s="343" t="s">
        <v>236</v>
      </c>
      <c r="D211" s="355" t="s">
        <v>73</v>
      </c>
      <c r="E211" s="474"/>
      <c r="F211" s="375" t="s">
        <v>11</v>
      </c>
      <c r="G211" s="353">
        <v>0</v>
      </c>
      <c r="H211" s="353">
        <v>0</v>
      </c>
      <c r="I211" s="353">
        <v>0</v>
      </c>
      <c r="J211" s="353">
        <v>0</v>
      </c>
      <c r="K211" s="353">
        <v>0</v>
      </c>
      <c r="L211" s="354">
        <v>0</v>
      </c>
      <c r="M211" s="354">
        <v>0</v>
      </c>
      <c r="N211" s="337">
        <f t="shared" ref="N211:N250" si="10">G211+H211+I211+J211+K211+L211+M211</f>
        <v>0</v>
      </c>
      <c r="O211" s="353">
        <v>0</v>
      </c>
      <c r="P211" s="354">
        <v>0</v>
      </c>
      <c r="Q211" s="353">
        <v>0</v>
      </c>
      <c r="R211" s="354">
        <v>0</v>
      </c>
      <c r="S211" s="354">
        <f>265-265</f>
        <v>0</v>
      </c>
      <c r="T211" s="353">
        <v>0</v>
      </c>
      <c r="U211" s="337">
        <f t="shared" si="9"/>
        <v>0</v>
      </c>
    </row>
    <row r="212" spans="1:21" s="7" customFormat="1" ht="55.5" hidden="1" customHeight="1" outlineLevel="1" x14ac:dyDescent="0.2">
      <c r="A212" s="33"/>
      <c r="B212" s="446"/>
      <c r="C212" s="338" t="s">
        <v>237</v>
      </c>
      <c r="D212" s="352" t="s">
        <v>73</v>
      </c>
      <c r="E212" s="474"/>
      <c r="F212" s="375" t="s">
        <v>11</v>
      </c>
      <c r="G212" s="353">
        <v>0</v>
      </c>
      <c r="H212" s="353">
        <v>0</v>
      </c>
      <c r="I212" s="353">
        <v>0</v>
      </c>
      <c r="J212" s="353">
        <v>0</v>
      </c>
      <c r="K212" s="353">
        <v>0</v>
      </c>
      <c r="L212" s="354">
        <v>0</v>
      </c>
      <c r="M212" s="354">
        <v>0</v>
      </c>
      <c r="N212" s="337">
        <f t="shared" si="10"/>
        <v>0</v>
      </c>
      <c r="O212" s="353">
        <v>0</v>
      </c>
      <c r="P212" s="354">
        <v>0</v>
      </c>
      <c r="Q212" s="353">
        <v>0</v>
      </c>
      <c r="R212" s="354">
        <v>0</v>
      </c>
      <c r="S212" s="354">
        <v>0</v>
      </c>
      <c r="T212" s="354">
        <v>770</v>
      </c>
      <c r="U212" s="337">
        <f t="shared" si="9"/>
        <v>770</v>
      </c>
    </row>
    <row r="213" spans="1:21" s="7" customFormat="1" ht="44.25" hidden="1" customHeight="1" outlineLevel="1" collapsed="1" x14ac:dyDescent="0.2">
      <c r="A213" s="33"/>
      <c r="B213" s="446"/>
      <c r="C213" s="338" t="s">
        <v>238</v>
      </c>
      <c r="D213" s="352" t="s">
        <v>73</v>
      </c>
      <c r="E213" s="474"/>
      <c r="F213" s="375" t="s">
        <v>11</v>
      </c>
      <c r="G213" s="353">
        <v>0</v>
      </c>
      <c r="H213" s="353">
        <v>0</v>
      </c>
      <c r="I213" s="353">
        <v>0</v>
      </c>
      <c r="J213" s="353">
        <v>0</v>
      </c>
      <c r="K213" s="353">
        <v>0</v>
      </c>
      <c r="L213" s="354">
        <v>0</v>
      </c>
      <c r="M213" s="354">
        <v>0</v>
      </c>
      <c r="N213" s="337">
        <f t="shared" si="10"/>
        <v>0</v>
      </c>
      <c r="O213" s="353">
        <v>0</v>
      </c>
      <c r="P213" s="354">
        <v>0</v>
      </c>
      <c r="Q213" s="353">
        <v>0</v>
      </c>
      <c r="R213" s="353">
        <v>0</v>
      </c>
      <c r="S213" s="337">
        <f>845-845</f>
        <v>0</v>
      </c>
      <c r="T213" s="353">
        <v>0</v>
      </c>
      <c r="U213" s="337">
        <f t="shared" si="9"/>
        <v>0</v>
      </c>
    </row>
    <row r="214" spans="1:21" s="7" customFormat="1" ht="41.25" hidden="1" customHeight="1" outlineLevel="1" x14ac:dyDescent="0.2">
      <c r="A214" s="33"/>
      <c r="B214" s="446"/>
      <c r="C214" s="338" t="s">
        <v>276</v>
      </c>
      <c r="D214" s="352" t="s">
        <v>73</v>
      </c>
      <c r="E214" s="474"/>
      <c r="F214" s="375" t="s">
        <v>11</v>
      </c>
      <c r="G214" s="353">
        <v>0</v>
      </c>
      <c r="H214" s="353">
        <v>0</v>
      </c>
      <c r="I214" s="353">
        <v>0</v>
      </c>
      <c r="J214" s="353">
        <v>0</v>
      </c>
      <c r="K214" s="353">
        <v>0</v>
      </c>
      <c r="L214" s="354">
        <v>0</v>
      </c>
      <c r="M214" s="354">
        <v>0</v>
      </c>
      <c r="N214" s="337">
        <f t="shared" si="10"/>
        <v>0</v>
      </c>
      <c r="O214" s="353">
        <v>0</v>
      </c>
      <c r="P214" s="354">
        <v>0</v>
      </c>
      <c r="Q214" s="353">
        <v>0</v>
      </c>
      <c r="R214" s="353">
        <v>0</v>
      </c>
      <c r="S214" s="337">
        <f>1340-1340</f>
        <v>0</v>
      </c>
      <c r="T214" s="353">
        <v>0</v>
      </c>
      <c r="U214" s="337">
        <f t="shared" si="9"/>
        <v>0</v>
      </c>
    </row>
    <row r="215" spans="1:21" s="7" customFormat="1" ht="41.25" hidden="1" customHeight="1" outlineLevel="1" x14ac:dyDescent="0.2">
      <c r="A215" s="33"/>
      <c r="B215" s="446"/>
      <c r="C215" s="338" t="s">
        <v>204</v>
      </c>
      <c r="D215" s="352" t="s">
        <v>73</v>
      </c>
      <c r="E215" s="474"/>
      <c r="F215" s="375" t="s">
        <v>11</v>
      </c>
      <c r="G215" s="353">
        <v>0</v>
      </c>
      <c r="H215" s="353">
        <v>0</v>
      </c>
      <c r="I215" s="353">
        <v>0</v>
      </c>
      <c r="J215" s="353">
        <v>0</v>
      </c>
      <c r="K215" s="353">
        <v>0</v>
      </c>
      <c r="L215" s="354">
        <v>0</v>
      </c>
      <c r="M215" s="354">
        <v>0</v>
      </c>
      <c r="N215" s="337">
        <f t="shared" si="10"/>
        <v>0</v>
      </c>
      <c r="O215" s="353">
        <v>0</v>
      </c>
      <c r="P215" s="354">
        <v>0</v>
      </c>
      <c r="Q215" s="353">
        <v>0</v>
      </c>
      <c r="R215" s="353">
        <v>0</v>
      </c>
      <c r="S215" s="353">
        <v>0</v>
      </c>
      <c r="T215" s="337">
        <v>890</v>
      </c>
      <c r="U215" s="337">
        <f t="shared" ref="U215:U223" si="11">SUM(G215:T215)-N215</f>
        <v>890</v>
      </c>
    </row>
    <row r="216" spans="1:21" s="7" customFormat="1" ht="46.5" hidden="1" customHeight="1" outlineLevel="1" x14ac:dyDescent="0.2">
      <c r="A216" s="33"/>
      <c r="B216" s="446"/>
      <c r="C216" s="338" t="s">
        <v>205</v>
      </c>
      <c r="D216" s="352" t="s">
        <v>73</v>
      </c>
      <c r="E216" s="474"/>
      <c r="F216" s="375" t="s">
        <v>11</v>
      </c>
      <c r="G216" s="353">
        <v>0</v>
      </c>
      <c r="H216" s="353">
        <v>0</v>
      </c>
      <c r="I216" s="353">
        <v>0</v>
      </c>
      <c r="J216" s="353">
        <v>0</v>
      </c>
      <c r="K216" s="353">
        <v>0</v>
      </c>
      <c r="L216" s="354">
        <v>0</v>
      </c>
      <c r="M216" s="354">
        <v>0</v>
      </c>
      <c r="N216" s="337">
        <f t="shared" si="10"/>
        <v>0</v>
      </c>
      <c r="O216" s="353">
        <v>0</v>
      </c>
      <c r="P216" s="354">
        <v>0</v>
      </c>
      <c r="Q216" s="353">
        <v>0</v>
      </c>
      <c r="R216" s="353">
        <v>0</v>
      </c>
      <c r="S216" s="353">
        <v>0</v>
      </c>
      <c r="T216" s="337">
        <v>2460</v>
      </c>
      <c r="U216" s="337">
        <f t="shared" si="11"/>
        <v>2460</v>
      </c>
    </row>
    <row r="217" spans="1:21" s="7" customFormat="1" ht="67.5" hidden="1" customHeight="1" outlineLevel="1" collapsed="1" x14ac:dyDescent="0.2">
      <c r="A217" s="33"/>
      <c r="B217" s="446"/>
      <c r="C217" s="338" t="s">
        <v>277</v>
      </c>
      <c r="D217" s="352" t="s">
        <v>73</v>
      </c>
      <c r="E217" s="474"/>
      <c r="F217" s="375" t="s">
        <v>11</v>
      </c>
      <c r="G217" s="353">
        <v>0</v>
      </c>
      <c r="H217" s="353">
        <v>0</v>
      </c>
      <c r="I217" s="353">
        <v>0</v>
      </c>
      <c r="J217" s="353">
        <v>0</v>
      </c>
      <c r="K217" s="353">
        <v>0</v>
      </c>
      <c r="L217" s="354">
        <v>0</v>
      </c>
      <c r="M217" s="354">
        <v>0</v>
      </c>
      <c r="N217" s="337">
        <f t="shared" si="10"/>
        <v>0</v>
      </c>
      <c r="O217" s="353">
        <v>0</v>
      </c>
      <c r="P217" s="354">
        <v>0</v>
      </c>
      <c r="Q217" s="353">
        <v>0</v>
      </c>
      <c r="R217" s="337">
        <f>930-930</f>
        <v>0</v>
      </c>
      <c r="S217" s="354">
        <v>0</v>
      </c>
      <c r="T217" s="353">
        <v>0</v>
      </c>
      <c r="U217" s="337">
        <f t="shared" si="11"/>
        <v>0</v>
      </c>
    </row>
    <row r="218" spans="1:21" s="7" customFormat="1" ht="65.25" hidden="1" customHeight="1" outlineLevel="1" x14ac:dyDescent="0.2">
      <c r="A218" s="33"/>
      <c r="B218" s="446"/>
      <c r="C218" s="338" t="s">
        <v>239</v>
      </c>
      <c r="D218" s="352" t="s">
        <v>73</v>
      </c>
      <c r="E218" s="474"/>
      <c r="F218" s="375" t="s">
        <v>11</v>
      </c>
      <c r="G218" s="353">
        <v>0</v>
      </c>
      <c r="H218" s="353">
        <v>0</v>
      </c>
      <c r="I218" s="353">
        <v>0</v>
      </c>
      <c r="J218" s="353">
        <v>0</v>
      </c>
      <c r="K218" s="353">
        <v>0</v>
      </c>
      <c r="L218" s="354">
        <v>0</v>
      </c>
      <c r="M218" s="354">
        <v>0</v>
      </c>
      <c r="N218" s="337">
        <f t="shared" si="10"/>
        <v>0</v>
      </c>
      <c r="O218" s="353">
        <v>0</v>
      </c>
      <c r="P218" s="354">
        <v>0</v>
      </c>
      <c r="Q218" s="353">
        <v>0</v>
      </c>
      <c r="R218" s="353">
        <v>0</v>
      </c>
      <c r="S218" s="337">
        <f>9500-9500</f>
        <v>0</v>
      </c>
      <c r="T218" s="353">
        <v>0</v>
      </c>
      <c r="U218" s="337">
        <f t="shared" si="11"/>
        <v>0</v>
      </c>
    </row>
    <row r="219" spans="1:21" s="7" customFormat="1" ht="69.75" hidden="1" customHeight="1" outlineLevel="1" x14ac:dyDescent="0.2">
      <c r="A219" s="33"/>
      <c r="B219" s="446"/>
      <c r="C219" s="342" t="s">
        <v>278</v>
      </c>
      <c r="D219" s="352" t="s">
        <v>73</v>
      </c>
      <c r="E219" s="474"/>
      <c r="F219" s="375" t="s">
        <v>11</v>
      </c>
      <c r="G219" s="353">
        <v>0</v>
      </c>
      <c r="H219" s="353">
        <v>0</v>
      </c>
      <c r="I219" s="353">
        <v>0</v>
      </c>
      <c r="J219" s="353">
        <v>0</v>
      </c>
      <c r="K219" s="353">
        <v>0</v>
      </c>
      <c r="L219" s="354">
        <v>0</v>
      </c>
      <c r="M219" s="354">
        <v>0</v>
      </c>
      <c r="N219" s="337">
        <f t="shared" si="10"/>
        <v>0</v>
      </c>
      <c r="O219" s="353">
        <v>0</v>
      </c>
      <c r="P219" s="354">
        <v>0</v>
      </c>
      <c r="Q219" s="353">
        <v>0</v>
      </c>
      <c r="R219" s="353">
        <v>0</v>
      </c>
      <c r="S219" s="337">
        <f>980-980</f>
        <v>0</v>
      </c>
      <c r="T219" s="353">
        <v>0</v>
      </c>
      <c r="U219" s="337">
        <f t="shared" si="11"/>
        <v>0</v>
      </c>
    </row>
    <row r="220" spans="1:21" s="7" customFormat="1" ht="12" hidden="1" customHeight="1" outlineLevel="1" x14ac:dyDescent="0.2">
      <c r="A220" s="76"/>
      <c r="B220" s="446"/>
      <c r="C220" s="343" t="s">
        <v>206</v>
      </c>
      <c r="D220" s="355" t="s">
        <v>73</v>
      </c>
      <c r="E220" s="474"/>
      <c r="F220" s="375" t="s">
        <v>11</v>
      </c>
      <c r="G220" s="353">
        <v>0</v>
      </c>
      <c r="H220" s="353">
        <v>0</v>
      </c>
      <c r="I220" s="353">
        <v>0</v>
      </c>
      <c r="J220" s="353">
        <v>0</v>
      </c>
      <c r="K220" s="353">
        <v>0</v>
      </c>
      <c r="L220" s="354">
        <v>0</v>
      </c>
      <c r="M220" s="354">
        <v>0</v>
      </c>
      <c r="N220" s="337">
        <f t="shared" si="10"/>
        <v>0</v>
      </c>
      <c r="O220" s="353">
        <v>0</v>
      </c>
      <c r="P220" s="354">
        <v>0</v>
      </c>
      <c r="Q220" s="353">
        <v>0</v>
      </c>
      <c r="R220" s="354">
        <v>0</v>
      </c>
      <c r="S220" s="353">
        <v>0</v>
      </c>
      <c r="T220" s="337">
        <v>10050</v>
      </c>
      <c r="U220" s="337">
        <f t="shared" si="11"/>
        <v>10050</v>
      </c>
    </row>
    <row r="221" spans="1:21" s="7" customFormat="1" ht="13.5" hidden="1" customHeight="1" outlineLevel="1" x14ac:dyDescent="0.2">
      <c r="A221" s="33"/>
      <c r="B221" s="446"/>
      <c r="C221" s="338" t="s">
        <v>155</v>
      </c>
      <c r="D221" s="352" t="s">
        <v>73</v>
      </c>
      <c r="E221" s="474"/>
      <c r="F221" s="375" t="s">
        <v>11</v>
      </c>
      <c r="G221" s="353">
        <v>0</v>
      </c>
      <c r="H221" s="353">
        <v>0</v>
      </c>
      <c r="I221" s="353">
        <v>0</v>
      </c>
      <c r="J221" s="353">
        <v>0</v>
      </c>
      <c r="K221" s="353">
        <v>0</v>
      </c>
      <c r="L221" s="354">
        <v>0</v>
      </c>
      <c r="M221" s="354">
        <v>0</v>
      </c>
      <c r="N221" s="337">
        <f t="shared" si="10"/>
        <v>0</v>
      </c>
      <c r="O221" s="353">
        <v>0</v>
      </c>
      <c r="P221" s="337">
        <v>619</v>
      </c>
      <c r="Q221" s="353">
        <v>0</v>
      </c>
      <c r="R221" s="353">
        <v>0</v>
      </c>
      <c r="S221" s="354">
        <v>0</v>
      </c>
      <c r="T221" s="354">
        <v>0</v>
      </c>
      <c r="U221" s="337">
        <f t="shared" si="11"/>
        <v>619</v>
      </c>
    </row>
    <row r="222" spans="1:21" s="7" customFormat="1" ht="9.75" hidden="1" customHeight="1" outlineLevel="1" x14ac:dyDescent="0.2">
      <c r="A222" s="33"/>
      <c r="B222" s="446"/>
      <c r="C222" s="338" t="s">
        <v>251</v>
      </c>
      <c r="D222" s="352" t="s">
        <v>250</v>
      </c>
      <c r="E222" s="474"/>
      <c r="F222" s="375" t="s">
        <v>11</v>
      </c>
      <c r="G222" s="353"/>
      <c r="H222" s="353"/>
      <c r="I222" s="353"/>
      <c r="J222" s="353"/>
      <c r="K222" s="353"/>
      <c r="L222" s="354"/>
      <c r="M222" s="354"/>
      <c r="N222" s="337">
        <v>0</v>
      </c>
      <c r="O222" s="353">
        <v>0</v>
      </c>
      <c r="P222" s="337">
        <v>0</v>
      </c>
      <c r="Q222" s="353">
        <v>13300</v>
      </c>
      <c r="R222" s="353">
        <v>12700</v>
      </c>
      <c r="S222" s="354">
        <v>8958</v>
      </c>
      <c r="T222" s="354">
        <v>28017</v>
      </c>
      <c r="U222" s="337">
        <f t="shared" ref="U222" si="12">SUM(G222:T222)-N222</f>
        <v>62975</v>
      </c>
    </row>
    <row r="223" spans="1:21" s="91" customFormat="1" ht="66.75" hidden="1" customHeight="1" collapsed="1" x14ac:dyDescent="0.2">
      <c r="A223" s="334"/>
      <c r="B223" s="476"/>
      <c r="C223" s="333" t="s">
        <v>285</v>
      </c>
      <c r="D223" s="250" t="s">
        <v>250</v>
      </c>
      <c r="E223" s="475"/>
      <c r="F223" s="375" t="s">
        <v>11</v>
      </c>
      <c r="G223" s="353"/>
      <c r="H223" s="353"/>
      <c r="I223" s="353"/>
      <c r="J223" s="353"/>
      <c r="K223" s="353"/>
      <c r="L223" s="354"/>
      <c r="M223" s="354"/>
      <c r="N223" s="337">
        <v>0</v>
      </c>
      <c r="O223" s="353">
        <v>0</v>
      </c>
      <c r="P223" s="337">
        <v>0</v>
      </c>
      <c r="Q223" s="353">
        <f>1700-200.3</f>
        <v>1499.7</v>
      </c>
      <c r="R223" s="353">
        <v>0</v>
      </c>
      <c r="S223" s="354">
        <v>0</v>
      </c>
      <c r="T223" s="354">
        <v>0</v>
      </c>
      <c r="U223" s="337">
        <f t="shared" si="11"/>
        <v>1499.7</v>
      </c>
    </row>
    <row r="224" spans="1:21" ht="39.75" hidden="1" customHeight="1" x14ac:dyDescent="0.2">
      <c r="A224" s="471" t="s">
        <v>75</v>
      </c>
      <c r="B224" s="472"/>
      <c r="C224" s="466"/>
      <c r="D224" s="467"/>
      <c r="E224" s="468"/>
      <c r="F224" s="378" t="s">
        <v>101</v>
      </c>
      <c r="G224" s="67">
        <f>SUM(G86:G175)</f>
        <v>138423.32</v>
      </c>
      <c r="H224" s="67">
        <f>SUM(H86:H175)</f>
        <v>204758.1</v>
      </c>
      <c r="I224" s="67">
        <f>SUM(I86:I175)</f>
        <v>220709</v>
      </c>
      <c r="J224" s="67">
        <f>SUM(J86:J221)</f>
        <v>313192.90000000002</v>
      </c>
      <c r="K224" s="67">
        <f>SUM(K86:K221)</f>
        <v>421613.6</v>
      </c>
      <c r="L224" s="67">
        <f>SUM(L86:L221)</f>
        <v>1308589.8</v>
      </c>
      <c r="M224" s="67">
        <f>SUM(M86:M221)</f>
        <v>1406025</v>
      </c>
      <c r="N224" s="316">
        <f t="shared" ref="N224:U224" si="13">SUM(N86:N223)</f>
        <v>4013311.72</v>
      </c>
      <c r="O224" s="316">
        <f t="shared" si="13"/>
        <v>1203878.7</v>
      </c>
      <c r="P224" s="316">
        <f t="shared" si="13"/>
        <v>799633.3</v>
      </c>
      <c r="Q224" s="316">
        <f t="shared" si="13"/>
        <v>799846.41499999992</v>
      </c>
      <c r="R224" s="316">
        <f t="shared" si="13"/>
        <v>818080.95000000007</v>
      </c>
      <c r="S224" s="316">
        <f t="shared" si="13"/>
        <v>836939.11</v>
      </c>
      <c r="T224" s="316">
        <f t="shared" si="13"/>
        <v>1102877.1948240912</v>
      </c>
      <c r="U224" s="316">
        <f t="shared" si="13"/>
        <v>9574567.3898240924</v>
      </c>
    </row>
    <row r="225" spans="1:21" ht="52.5" hidden="1" customHeight="1" x14ac:dyDescent="0.2">
      <c r="A225" s="254">
        <v>3</v>
      </c>
      <c r="B225" s="445" t="s">
        <v>156</v>
      </c>
      <c r="C225" s="255" t="s">
        <v>157</v>
      </c>
      <c r="D225" s="256" t="s">
        <v>50</v>
      </c>
      <c r="E225" s="447" t="s">
        <v>158</v>
      </c>
      <c r="F225" s="378" t="s">
        <v>11</v>
      </c>
      <c r="G225" s="38">
        <v>0</v>
      </c>
      <c r="H225" s="38">
        <v>0</v>
      </c>
      <c r="I225" s="38">
        <v>0</v>
      </c>
      <c r="J225" s="38">
        <v>4059.9</v>
      </c>
      <c r="K225" s="38">
        <v>20246.5</v>
      </c>
      <c r="L225" s="38">
        <v>48490</v>
      </c>
      <c r="M225" s="38">
        <v>51250</v>
      </c>
      <c r="N225" s="6">
        <f t="shared" si="10"/>
        <v>124046.39999999999</v>
      </c>
      <c r="O225" s="38">
        <f>53650-10623.9</f>
        <v>43026.1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>SUM(G225:T225)-N225</f>
        <v>167072.49999999997</v>
      </c>
    </row>
    <row r="226" spans="1:21" ht="44.25" hidden="1" customHeight="1" x14ac:dyDescent="0.2">
      <c r="A226" s="257"/>
      <c r="B226" s="446"/>
      <c r="C226" s="258" t="s">
        <v>159</v>
      </c>
      <c r="D226" s="259" t="s">
        <v>59</v>
      </c>
      <c r="E226" s="448"/>
      <c r="F226" s="90" t="s">
        <v>160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/>
      <c r="N226" s="6">
        <f t="shared" si="10"/>
        <v>0</v>
      </c>
      <c r="O226" s="38"/>
      <c r="P226" s="38"/>
      <c r="Q226" s="38"/>
      <c r="R226" s="38"/>
      <c r="S226" s="38"/>
      <c r="T226" s="38"/>
      <c r="U226" s="38" t="e">
        <f>SUM(G226:T226)-#REF!</f>
        <v>#REF!</v>
      </c>
    </row>
    <row r="227" spans="1:21" ht="44.25" hidden="1" customHeight="1" x14ac:dyDescent="0.2">
      <c r="A227" s="257"/>
      <c r="B227" s="446"/>
      <c r="C227" s="261" t="s">
        <v>161</v>
      </c>
      <c r="D227" s="259" t="s">
        <v>59</v>
      </c>
      <c r="E227" s="448"/>
      <c r="F227" s="90" t="s">
        <v>160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/>
      <c r="N227" s="6">
        <f t="shared" si="10"/>
        <v>0</v>
      </c>
      <c r="O227" s="38"/>
      <c r="P227" s="38"/>
      <c r="Q227" s="38"/>
      <c r="R227" s="38"/>
      <c r="S227" s="38"/>
      <c r="T227" s="38"/>
      <c r="U227" s="38" t="e">
        <f>SUM(G227:T227)-#REF!</f>
        <v>#REF!</v>
      </c>
    </row>
    <row r="228" spans="1:21" ht="45" hidden="1" customHeight="1" x14ac:dyDescent="0.2">
      <c r="A228" s="262"/>
      <c r="B228" s="446"/>
      <c r="C228" s="263" t="s">
        <v>162</v>
      </c>
      <c r="D228" s="264" t="s">
        <v>50</v>
      </c>
      <c r="E228" s="448"/>
      <c r="F228" s="378" t="s">
        <v>11</v>
      </c>
      <c r="G228" s="40">
        <v>0</v>
      </c>
      <c r="H228" s="40">
        <v>0</v>
      </c>
      <c r="I228" s="40">
        <v>0</v>
      </c>
      <c r="J228" s="40">
        <v>519.4</v>
      </c>
      <c r="K228" s="40">
        <v>1000</v>
      </c>
      <c r="L228" s="40">
        <v>1000</v>
      </c>
      <c r="M228" s="40">
        <v>1070</v>
      </c>
      <c r="N228" s="6">
        <f t="shared" si="10"/>
        <v>3589.4</v>
      </c>
      <c r="O228" s="40">
        <v>1070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ref="U228:U240" si="14">SUM(G228:T228)-N228</f>
        <v>4659.3999999999996</v>
      </c>
    </row>
    <row r="229" spans="1:21" ht="48.75" hidden="1" customHeight="1" x14ac:dyDescent="0.2">
      <c r="A229" s="262"/>
      <c r="B229" s="446"/>
      <c r="C229" s="265" t="s">
        <v>163</v>
      </c>
      <c r="D229" s="266" t="s">
        <v>56</v>
      </c>
      <c r="E229" s="448" t="s">
        <v>164</v>
      </c>
      <c r="F229" s="378" t="s">
        <v>11</v>
      </c>
      <c r="G229" s="40">
        <v>0</v>
      </c>
      <c r="H229" s="40">
        <v>0</v>
      </c>
      <c r="I229" s="40">
        <v>0</v>
      </c>
      <c r="J229" s="40">
        <v>972</v>
      </c>
      <c r="K229" s="40">
        <v>3900</v>
      </c>
      <c r="L229" s="40">
        <v>0</v>
      </c>
      <c r="M229" s="40">
        <v>0</v>
      </c>
      <c r="N229" s="6">
        <f t="shared" si="10"/>
        <v>4872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4872</v>
      </c>
    </row>
    <row r="230" spans="1:21" ht="45.75" hidden="1" customHeight="1" x14ac:dyDescent="0.2">
      <c r="A230" s="267"/>
      <c r="B230" s="446"/>
      <c r="C230" s="268" t="s">
        <v>165</v>
      </c>
      <c r="D230" s="269">
        <v>2020</v>
      </c>
      <c r="E230" s="448"/>
      <c r="F230" s="378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900</v>
      </c>
      <c r="L230" s="40">
        <v>0</v>
      </c>
      <c r="M230" s="40">
        <v>0</v>
      </c>
      <c r="N230" s="6">
        <f t="shared" si="10"/>
        <v>900</v>
      </c>
      <c r="O230" s="40">
        <v>0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900</v>
      </c>
    </row>
    <row r="231" spans="1:21" ht="44.25" hidden="1" customHeight="1" x14ac:dyDescent="0.2">
      <c r="A231" s="267"/>
      <c r="B231" s="446"/>
      <c r="C231" s="263" t="s">
        <v>166</v>
      </c>
      <c r="D231" s="270" t="s">
        <v>90</v>
      </c>
      <c r="E231" s="267"/>
      <c r="F231" s="378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350</v>
      </c>
      <c r="L231" s="40">
        <v>370</v>
      </c>
      <c r="M231" s="40">
        <v>0</v>
      </c>
      <c r="N231" s="6">
        <f t="shared" si="10"/>
        <v>720</v>
      </c>
      <c r="O231" s="40"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720</v>
      </c>
    </row>
    <row r="232" spans="1:21" ht="47.25" hidden="1" customHeight="1" x14ac:dyDescent="0.2">
      <c r="A232" s="267"/>
      <c r="B232" s="271"/>
      <c r="C232" s="272" t="s">
        <v>167</v>
      </c>
      <c r="D232" s="266" t="s">
        <v>90</v>
      </c>
      <c r="E232" s="267"/>
      <c r="F232" s="378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1000</v>
      </c>
      <c r="L232" s="40">
        <v>3000</v>
      </c>
      <c r="M232" s="40">
        <v>3000</v>
      </c>
      <c r="N232" s="6">
        <f t="shared" si="10"/>
        <v>7000</v>
      </c>
      <c r="O232" s="40">
        <v>3000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10000</v>
      </c>
    </row>
    <row r="233" spans="1:21" ht="42" hidden="1" customHeight="1" x14ac:dyDescent="0.2">
      <c r="A233" s="262"/>
      <c r="B233" s="273"/>
      <c r="C233" s="274" t="s">
        <v>168</v>
      </c>
      <c r="D233" s="259">
        <v>2020</v>
      </c>
      <c r="E233" s="83"/>
      <c r="F233" s="378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2450</v>
      </c>
      <c r="L233" s="40">
        <v>0</v>
      </c>
      <c r="M233" s="40">
        <v>0</v>
      </c>
      <c r="N233" s="6">
        <f t="shared" si="10"/>
        <v>2450</v>
      </c>
      <c r="O233" s="40">
        <v>0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2450</v>
      </c>
    </row>
    <row r="234" spans="1:21" ht="49.5" hidden="1" customHeight="1" x14ac:dyDescent="0.2">
      <c r="A234" s="262"/>
      <c r="B234" s="273"/>
      <c r="C234" s="274" t="s">
        <v>169</v>
      </c>
      <c r="D234" s="259">
        <v>2020</v>
      </c>
      <c r="E234" s="83"/>
      <c r="F234" s="378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4500</v>
      </c>
      <c r="L234" s="40">
        <v>0</v>
      </c>
      <c r="M234" s="40">
        <v>0</v>
      </c>
      <c r="N234" s="6">
        <f t="shared" si="10"/>
        <v>4500</v>
      </c>
      <c r="O234" s="40">
        <v>0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4500</v>
      </c>
    </row>
    <row r="235" spans="1:21" ht="40.5" hidden="1" customHeight="1" x14ac:dyDescent="0.2">
      <c r="A235" s="262"/>
      <c r="B235" s="275"/>
      <c r="C235" s="276" t="s">
        <v>170</v>
      </c>
      <c r="D235" s="277" t="s">
        <v>90</v>
      </c>
      <c r="E235" s="83"/>
      <c r="F235" s="378" t="s">
        <v>11</v>
      </c>
      <c r="G235" s="40">
        <v>0</v>
      </c>
      <c r="H235" s="40">
        <v>0</v>
      </c>
      <c r="I235" s="40">
        <v>0</v>
      </c>
      <c r="J235" s="40">
        <v>0</v>
      </c>
      <c r="K235" s="40">
        <v>5160</v>
      </c>
      <c r="L235" s="40">
        <v>5000</v>
      </c>
      <c r="M235" s="40">
        <v>0</v>
      </c>
      <c r="N235" s="6">
        <f t="shared" si="10"/>
        <v>10160</v>
      </c>
      <c r="O235" s="40">
        <v>0</v>
      </c>
      <c r="P235" s="38">
        <v>0</v>
      </c>
      <c r="Q235" s="38">
        <v>0</v>
      </c>
      <c r="R235" s="38">
        <v>0</v>
      </c>
      <c r="S235" s="38">
        <v>0</v>
      </c>
      <c r="T235" s="38">
        <v>0</v>
      </c>
      <c r="U235" s="38">
        <f t="shared" si="14"/>
        <v>10160</v>
      </c>
    </row>
    <row r="236" spans="1:21" ht="48" hidden="1" customHeight="1" x14ac:dyDescent="0.2">
      <c r="A236" s="278"/>
      <c r="B236" s="279"/>
      <c r="C236" s="280" t="s">
        <v>171</v>
      </c>
      <c r="D236" s="281" t="s">
        <v>59</v>
      </c>
      <c r="E236" s="83"/>
      <c r="F236" s="378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3150</v>
      </c>
      <c r="M236" s="40">
        <v>3125</v>
      </c>
      <c r="N236" s="6">
        <f t="shared" si="10"/>
        <v>6275</v>
      </c>
      <c r="O236" s="40">
        <v>3125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 t="shared" si="14"/>
        <v>9400</v>
      </c>
    </row>
    <row r="237" spans="1:21" ht="51.75" hidden="1" customHeight="1" x14ac:dyDescent="0.2">
      <c r="A237" s="278"/>
      <c r="B237" s="282"/>
      <c r="C237" s="265" t="s">
        <v>172</v>
      </c>
      <c r="D237" s="283" t="s">
        <v>59</v>
      </c>
      <c r="E237" s="284"/>
      <c r="F237" s="378" t="s">
        <v>11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f>5350-5350</f>
        <v>0</v>
      </c>
      <c r="M237" s="40">
        <f>5350-5350</f>
        <v>0</v>
      </c>
      <c r="N237" s="6">
        <f t="shared" si="10"/>
        <v>0</v>
      </c>
      <c r="O237" s="40">
        <f>5350-5350</f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si="14"/>
        <v>0</v>
      </c>
    </row>
    <row r="238" spans="1:21" ht="40.5" hidden="1" customHeight="1" x14ac:dyDescent="0.2">
      <c r="A238" s="278"/>
      <c r="B238" s="282"/>
      <c r="C238" s="268" t="s">
        <v>173</v>
      </c>
      <c r="D238" s="269" t="s">
        <v>59</v>
      </c>
      <c r="E238" s="83"/>
      <c r="F238" s="378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6500</v>
      </c>
      <c r="M238" s="40">
        <v>750</v>
      </c>
      <c r="N238" s="6">
        <f t="shared" si="10"/>
        <v>7250</v>
      </c>
      <c r="O238" s="40">
        <v>750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4"/>
        <v>8000</v>
      </c>
    </row>
    <row r="239" spans="1:21" ht="84" hidden="1" customHeight="1" x14ac:dyDescent="0.2">
      <c r="A239" s="278"/>
      <c r="B239" s="282"/>
      <c r="C239" s="285" t="s">
        <v>174</v>
      </c>
      <c r="D239" s="253">
        <v>2023</v>
      </c>
      <c r="E239" s="83"/>
      <c r="F239" s="378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6">
        <f t="shared" si="10"/>
        <v>0</v>
      </c>
      <c r="O239" s="9">
        <f>10623.9-934.29</f>
        <v>9689.61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4"/>
        <v>9689.61</v>
      </c>
    </row>
    <row r="240" spans="1:21" ht="43.5" hidden="1" customHeight="1" x14ac:dyDescent="0.2">
      <c r="A240" s="286"/>
      <c r="B240" s="287"/>
      <c r="C240" s="288" t="s">
        <v>175</v>
      </c>
      <c r="D240" s="289">
        <v>2023</v>
      </c>
      <c r="E240" s="83"/>
      <c r="F240" s="90" t="s">
        <v>11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6">
        <f t="shared" si="10"/>
        <v>0</v>
      </c>
      <c r="O240" s="9">
        <v>934.28800000000001</v>
      </c>
      <c r="P240" s="38">
        <v>0</v>
      </c>
      <c r="Q240" s="38">
        <v>0</v>
      </c>
      <c r="R240" s="38">
        <v>0</v>
      </c>
      <c r="S240" s="38">
        <v>0</v>
      </c>
      <c r="T240" s="38">
        <v>0</v>
      </c>
      <c r="U240" s="38">
        <f t="shared" si="14"/>
        <v>934.28800000000001</v>
      </c>
    </row>
    <row r="241" spans="1:21" ht="41.25" hidden="1" customHeight="1" x14ac:dyDescent="0.2">
      <c r="A241" s="449" t="s">
        <v>75</v>
      </c>
      <c r="B241" s="453"/>
      <c r="C241" s="290"/>
      <c r="D241" s="281"/>
      <c r="E241" s="281"/>
      <c r="F241" s="378" t="s">
        <v>11</v>
      </c>
      <c r="G241" s="56">
        <f>SUM(G225:G240)</f>
        <v>0</v>
      </c>
      <c r="H241" s="56">
        <f t="shared" ref="H241:T241" si="15">SUM(H225:H240)</f>
        <v>0</v>
      </c>
      <c r="I241" s="56">
        <f t="shared" si="15"/>
        <v>0</v>
      </c>
      <c r="J241" s="56">
        <f t="shared" si="15"/>
        <v>5551.3</v>
      </c>
      <c r="K241" s="56">
        <f t="shared" si="15"/>
        <v>39506.5</v>
      </c>
      <c r="L241" s="56">
        <f t="shared" si="15"/>
        <v>67510</v>
      </c>
      <c r="M241" s="56">
        <f>SUM(M225:M240)</f>
        <v>59195</v>
      </c>
      <c r="N241" s="56">
        <f>SUM(N225:N240)</f>
        <v>171762.8</v>
      </c>
      <c r="O241" s="56">
        <f t="shared" si="15"/>
        <v>61594.998</v>
      </c>
      <c r="P241" s="56">
        <f t="shared" si="15"/>
        <v>0</v>
      </c>
      <c r="Q241" s="56">
        <f t="shared" si="15"/>
        <v>0</v>
      </c>
      <c r="R241" s="56">
        <f t="shared" si="15"/>
        <v>0</v>
      </c>
      <c r="S241" s="56">
        <f t="shared" si="15"/>
        <v>0</v>
      </c>
      <c r="T241" s="56">
        <f t="shared" si="15"/>
        <v>0</v>
      </c>
      <c r="U241" s="56">
        <f>SUM(G241:T241)-N241</f>
        <v>233357.79800000001</v>
      </c>
    </row>
    <row r="242" spans="1:21" ht="84" hidden="1" customHeight="1" x14ac:dyDescent="0.2">
      <c r="A242" s="291">
        <v>4</v>
      </c>
      <c r="B242" s="292" t="s">
        <v>176</v>
      </c>
      <c r="C242" s="293" t="s">
        <v>207</v>
      </c>
      <c r="D242" s="294">
        <v>2020</v>
      </c>
      <c r="E242" s="295" t="s">
        <v>177</v>
      </c>
      <c r="F242" s="378" t="s">
        <v>11</v>
      </c>
      <c r="G242" s="40">
        <v>0</v>
      </c>
      <c r="H242" s="40">
        <v>0</v>
      </c>
      <c r="I242" s="40">
        <v>0</v>
      </c>
      <c r="J242" s="40">
        <v>0</v>
      </c>
      <c r="K242" s="40">
        <v>167.43</v>
      </c>
      <c r="L242" s="40">
        <v>0</v>
      </c>
      <c r="M242" s="40">
        <v>0</v>
      </c>
      <c r="N242" s="6">
        <f t="shared" si="10"/>
        <v>167.43</v>
      </c>
      <c r="O242" s="40">
        <v>0</v>
      </c>
      <c r="P242" s="38">
        <v>0</v>
      </c>
      <c r="Q242" s="38">
        <v>0</v>
      </c>
      <c r="R242" s="38">
        <v>0</v>
      </c>
      <c r="S242" s="38">
        <v>0</v>
      </c>
      <c r="T242" s="38">
        <v>0</v>
      </c>
      <c r="U242" s="38">
        <f>SUM(G242:T242)-N242</f>
        <v>167.43</v>
      </c>
    </row>
    <row r="243" spans="1:21" ht="82.5" hidden="1" customHeight="1" x14ac:dyDescent="0.2">
      <c r="A243" s="296"/>
      <c r="B243" s="273"/>
      <c r="C243" s="274" t="s">
        <v>178</v>
      </c>
      <c r="D243" s="297" t="s">
        <v>14</v>
      </c>
      <c r="E243" s="259" t="s">
        <v>179</v>
      </c>
      <c r="F243" s="378" t="s">
        <v>11</v>
      </c>
      <c r="G243" s="38">
        <v>199.92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199.92</v>
      </c>
      <c r="O243" s="38">
        <v>0</v>
      </c>
      <c r="P243" s="38">
        <v>0</v>
      </c>
      <c r="Q243" s="38">
        <v>0</v>
      </c>
      <c r="R243" s="38">
        <v>0</v>
      </c>
      <c r="S243" s="38">
        <v>0</v>
      </c>
      <c r="T243" s="38">
        <v>0</v>
      </c>
      <c r="U243" s="38">
        <f t="shared" ref="U243:U245" si="16">SUM(G243:T243)-N243</f>
        <v>199.92</v>
      </c>
    </row>
    <row r="244" spans="1:21" ht="76.5" hidden="1" customHeight="1" x14ac:dyDescent="0.2">
      <c r="A244" s="298"/>
      <c r="B244" s="299"/>
      <c r="C244" s="313" t="s">
        <v>180</v>
      </c>
      <c r="D244" s="297">
        <v>2021</v>
      </c>
      <c r="E244" s="259" t="s">
        <v>177</v>
      </c>
      <c r="F244" s="378" t="s">
        <v>11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485.1</v>
      </c>
      <c r="M244" s="40">
        <v>0</v>
      </c>
      <c r="N244" s="6">
        <f t="shared" si="10"/>
        <v>485.1</v>
      </c>
      <c r="O244" s="40">
        <v>0</v>
      </c>
      <c r="P244" s="38">
        <v>0</v>
      </c>
      <c r="Q244" s="38">
        <v>0</v>
      </c>
      <c r="R244" s="38">
        <v>0</v>
      </c>
      <c r="S244" s="38">
        <v>0</v>
      </c>
      <c r="T244" s="38">
        <v>0</v>
      </c>
      <c r="U244" s="38">
        <f t="shared" si="16"/>
        <v>485.1</v>
      </c>
    </row>
    <row r="245" spans="1:21" ht="77.25" hidden="1" customHeight="1" x14ac:dyDescent="0.2">
      <c r="A245" s="301"/>
      <c r="B245" s="302"/>
      <c r="C245" s="313" t="s">
        <v>181</v>
      </c>
      <c r="D245" s="297">
        <v>2022</v>
      </c>
      <c r="E245" s="259" t="s">
        <v>177</v>
      </c>
      <c r="F245" s="378" t="s">
        <v>11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488.9</v>
      </c>
      <c r="N245" s="6">
        <f t="shared" si="10"/>
        <v>488.9</v>
      </c>
      <c r="O245" s="40">
        <v>0</v>
      </c>
      <c r="P245" s="38">
        <v>0</v>
      </c>
      <c r="Q245" s="38">
        <v>0</v>
      </c>
      <c r="R245" s="38">
        <v>0</v>
      </c>
      <c r="S245" s="38">
        <v>0</v>
      </c>
      <c r="T245" s="38">
        <v>0</v>
      </c>
      <c r="U245" s="38">
        <f t="shared" si="16"/>
        <v>488.9</v>
      </c>
    </row>
    <row r="246" spans="1:21" ht="40.5" hidden="1" customHeight="1" x14ac:dyDescent="0.2">
      <c r="A246" s="454" t="s">
        <v>75</v>
      </c>
      <c r="B246" s="455"/>
      <c r="C246" s="456"/>
      <c r="D246" s="456"/>
      <c r="E246" s="457"/>
      <c r="F246" s="378" t="s">
        <v>11</v>
      </c>
      <c r="G246" s="56">
        <f>SUM(G242:G245)</f>
        <v>199.92</v>
      </c>
      <c r="H246" s="56">
        <f t="shared" ref="H246:T246" si="17">SUM(H242:H245)</f>
        <v>0</v>
      </c>
      <c r="I246" s="56">
        <f t="shared" si="17"/>
        <v>0</v>
      </c>
      <c r="J246" s="56">
        <f t="shared" si="17"/>
        <v>0</v>
      </c>
      <c r="K246" s="56">
        <f t="shared" si="17"/>
        <v>167.43</v>
      </c>
      <c r="L246" s="56">
        <f t="shared" si="17"/>
        <v>485.1</v>
      </c>
      <c r="M246" s="56">
        <f t="shared" si="17"/>
        <v>488.9</v>
      </c>
      <c r="N246" s="56">
        <f t="shared" si="17"/>
        <v>1341.35</v>
      </c>
      <c r="O246" s="56">
        <f t="shared" si="17"/>
        <v>0</v>
      </c>
      <c r="P246" s="56">
        <f t="shared" si="17"/>
        <v>0</v>
      </c>
      <c r="Q246" s="56">
        <f t="shared" si="17"/>
        <v>0</v>
      </c>
      <c r="R246" s="56">
        <f t="shared" si="17"/>
        <v>0</v>
      </c>
      <c r="S246" s="56">
        <f t="shared" si="17"/>
        <v>0</v>
      </c>
      <c r="T246" s="56">
        <f t="shared" si="17"/>
        <v>0</v>
      </c>
      <c r="U246" s="56">
        <f>SUM(G246:T246)-N246</f>
        <v>1341.35</v>
      </c>
    </row>
    <row r="247" spans="1:21" ht="78.75" hidden="1" customHeight="1" collapsed="1" x14ac:dyDescent="0.2">
      <c r="A247" s="303">
        <v>5</v>
      </c>
      <c r="B247" s="304" t="s">
        <v>182</v>
      </c>
      <c r="C247" s="305" t="s">
        <v>241</v>
      </c>
      <c r="D247" s="306" t="s">
        <v>183</v>
      </c>
      <c r="E247" s="266" t="s">
        <v>177</v>
      </c>
      <c r="F247" s="378" t="s">
        <v>11</v>
      </c>
      <c r="G247" s="38">
        <v>0</v>
      </c>
      <c r="H247" s="38">
        <v>300</v>
      </c>
      <c r="I247" s="38">
        <v>0</v>
      </c>
      <c r="J247" s="38">
        <v>0</v>
      </c>
      <c r="K247" s="38">
        <v>0</v>
      </c>
      <c r="L247" s="38">
        <v>1469</v>
      </c>
      <c r="M247" s="38">
        <v>0</v>
      </c>
      <c r="N247" s="6">
        <f t="shared" si="10"/>
        <v>1769</v>
      </c>
      <c r="O247" s="38">
        <v>0</v>
      </c>
      <c r="P247" s="38">
        <v>0</v>
      </c>
      <c r="Q247" s="38">
        <v>0</v>
      </c>
      <c r="R247" s="38">
        <v>0</v>
      </c>
      <c r="S247" s="38">
        <v>0</v>
      </c>
      <c r="T247" s="38">
        <v>0</v>
      </c>
      <c r="U247" s="38">
        <f>SUM(G247:T247)-N247</f>
        <v>1769</v>
      </c>
    </row>
    <row r="248" spans="1:21" ht="41.25" hidden="1" customHeight="1" x14ac:dyDescent="0.2">
      <c r="A248" s="307"/>
      <c r="B248" s="308"/>
      <c r="C248" s="309" t="s">
        <v>242</v>
      </c>
      <c r="D248" s="310" t="s">
        <v>61</v>
      </c>
      <c r="E248" s="458" t="s">
        <v>177</v>
      </c>
      <c r="F248" s="378" t="s">
        <v>11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8">
        <v>31</v>
      </c>
      <c r="M248" s="38">
        <v>0</v>
      </c>
      <c r="N248" s="6">
        <f t="shared" si="10"/>
        <v>31</v>
      </c>
      <c r="O248" s="38">
        <v>0</v>
      </c>
      <c r="P248" s="38">
        <v>50</v>
      </c>
      <c r="Q248" s="38">
        <v>55</v>
      </c>
      <c r="R248" s="38">
        <v>61</v>
      </c>
      <c r="S248" s="38">
        <v>67</v>
      </c>
      <c r="T248" s="38">
        <v>75</v>
      </c>
      <c r="U248" s="38">
        <f t="shared" ref="U248:U250" si="18">SUM(G248:T248)-N248</f>
        <v>339</v>
      </c>
    </row>
    <row r="249" spans="1:21" ht="52.5" hidden="1" customHeight="1" x14ac:dyDescent="0.2">
      <c r="A249" s="307"/>
      <c r="B249" s="308"/>
      <c r="C249" s="311" t="s">
        <v>184</v>
      </c>
      <c r="D249" s="297" t="s">
        <v>73</v>
      </c>
      <c r="E249" s="459"/>
      <c r="F249" s="378" t="s">
        <v>11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38">
        <v>0</v>
      </c>
      <c r="N249" s="6">
        <f t="shared" si="10"/>
        <v>0</v>
      </c>
      <c r="O249" s="38">
        <v>0</v>
      </c>
      <c r="P249" s="38">
        <v>35</v>
      </c>
      <c r="Q249" s="38">
        <v>40</v>
      </c>
      <c r="R249" s="38">
        <v>45</v>
      </c>
      <c r="S249" s="38">
        <v>50</v>
      </c>
      <c r="T249" s="38">
        <v>55</v>
      </c>
      <c r="U249" s="38">
        <f t="shared" si="18"/>
        <v>225</v>
      </c>
    </row>
    <row r="250" spans="1:21" ht="103.5" hidden="1" customHeight="1" outlineLevel="1" collapsed="1" x14ac:dyDescent="0.2">
      <c r="A250" s="303">
        <v>5</v>
      </c>
      <c r="B250" s="366" t="s">
        <v>182</v>
      </c>
      <c r="C250" s="333" t="s">
        <v>279</v>
      </c>
      <c r="D250" s="349" t="s">
        <v>73</v>
      </c>
      <c r="E250" s="349" t="s">
        <v>249</v>
      </c>
      <c r="F250" s="379" t="s">
        <v>11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337">
        <f t="shared" si="10"/>
        <v>0</v>
      </c>
      <c r="O250" s="337">
        <v>0</v>
      </c>
      <c r="P250" s="337">
        <v>750</v>
      </c>
      <c r="Q250" s="337">
        <v>600</v>
      </c>
      <c r="R250" s="337">
        <v>300</v>
      </c>
      <c r="S250" s="337">
        <v>450</v>
      </c>
      <c r="T250" s="337">
        <v>400</v>
      </c>
      <c r="U250" s="337">
        <f t="shared" si="18"/>
        <v>2500</v>
      </c>
    </row>
    <row r="251" spans="1:21" ht="17.25" hidden="1" customHeight="1" outlineLevel="1" x14ac:dyDescent="0.2">
      <c r="A251" s="460" t="s">
        <v>75</v>
      </c>
      <c r="B251" s="461"/>
      <c r="C251" s="462"/>
      <c r="D251" s="462"/>
      <c r="E251" s="463"/>
      <c r="F251" s="380" t="s">
        <v>11</v>
      </c>
      <c r="G251" s="363">
        <f>G247+G248+G249</f>
        <v>0</v>
      </c>
      <c r="H251" s="363">
        <f t="shared" ref="H251:M251" si="19">H247+H248+H249</f>
        <v>300</v>
      </c>
      <c r="I251" s="363">
        <f t="shared" si="19"/>
        <v>0</v>
      </c>
      <c r="J251" s="363">
        <f t="shared" si="19"/>
        <v>0</v>
      </c>
      <c r="K251" s="363">
        <f t="shared" si="19"/>
        <v>0</v>
      </c>
      <c r="L251" s="363">
        <f t="shared" si="19"/>
        <v>1500</v>
      </c>
      <c r="M251" s="363">
        <f t="shared" si="19"/>
        <v>0</v>
      </c>
      <c r="N251" s="363">
        <f>G251+H251+I251+J251+K251+L251+M251</f>
        <v>1800</v>
      </c>
      <c r="O251" s="363">
        <f>O247+O248+O249+O250</f>
        <v>0</v>
      </c>
      <c r="P251" s="363">
        <f t="shared" ref="P251:T251" si="20">P247+P248+P249+P250</f>
        <v>835</v>
      </c>
      <c r="Q251" s="363">
        <f t="shared" si="20"/>
        <v>695</v>
      </c>
      <c r="R251" s="363">
        <f t="shared" si="20"/>
        <v>406</v>
      </c>
      <c r="S251" s="363">
        <f t="shared" si="20"/>
        <v>567</v>
      </c>
      <c r="T251" s="363">
        <f t="shared" si="20"/>
        <v>530</v>
      </c>
      <c r="U251" s="363">
        <f>SUM(G251:T251)-N251</f>
        <v>4833</v>
      </c>
    </row>
    <row r="252" spans="1:21" ht="95.25" customHeight="1" collapsed="1" x14ac:dyDescent="0.2">
      <c r="A252" s="449" t="s">
        <v>185</v>
      </c>
      <c r="B252" s="450"/>
      <c r="C252" s="364"/>
      <c r="D252" s="365"/>
      <c r="E252" s="365"/>
      <c r="F252" s="378" t="s">
        <v>296</v>
      </c>
      <c r="G252" s="61">
        <f t="shared" ref="G252:T252" si="21">G246+G85+G224+G241+G251</f>
        <v>254461.71999999997</v>
      </c>
      <c r="H252" s="61">
        <f t="shared" si="21"/>
        <v>419562.19999999995</v>
      </c>
      <c r="I252" s="61">
        <f t="shared" si="21"/>
        <v>461134.5</v>
      </c>
      <c r="J252" s="61">
        <f t="shared" si="21"/>
        <v>614158.40000000014</v>
      </c>
      <c r="K252" s="61">
        <f t="shared" si="21"/>
        <v>910764.79</v>
      </c>
      <c r="L252" s="61">
        <f t="shared" si="21"/>
        <v>2006163.4</v>
      </c>
      <c r="M252" s="61">
        <f t="shared" si="21"/>
        <v>2130497.2000000002</v>
      </c>
      <c r="N252" s="61">
        <f t="shared" si="21"/>
        <v>6796742.21</v>
      </c>
      <c r="O252" s="61">
        <f t="shared" si="21"/>
        <v>2120341.898</v>
      </c>
      <c r="P252" s="61">
        <f t="shared" si="21"/>
        <v>1849788.28614</v>
      </c>
      <c r="Q252" s="61">
        <f t="shared" si="21"/>
        <v>1601473.1761099999</v>
      </c>
      <c r="R252" s="61">
        <f t="shared" si="21"/>
        <v>1706390.5643600002</v>
      </c>
      <c r="S252" s="61">
        <f t="shared" si="21"/>
        <v>1783638.2713599999</v>
      </c>
      <c r="T252" s="61">
        <f t="shared" si="21"/>
        <v>2147162.8696440915</v>
      </c>
      <c r="U252" s="61">
        <f>SUM(G252:T252)-N252</f>
        <v>18005537.275614087</v>
      </c>
    </row>
    <row r="253" spans="1:21" ht="48.75" customHeight="1" x14ac:dyDescent="0.2">
      <c r="A253" s="62"/>
      <c r="B253" s="451" t="s">
        <v>248</v>
      </c>
      <c r="C253" s="451"/>
      <c r="D253" s="451"/>
      <c r="E253" s="451"/>
      <c r="F253" s="451"/>
      <c r="G253" s="451"/>
      <c r="H253" s="451"/>
      <c r="I253" s="451"/>
      <c r="J253" s="451"/>
      <c r="K253" s="451"/>
      <c r="L253" s="451"/>
      <c r="M253" s="451"/>
      <c r="N253" s="451"/>
      <c r="O253" s="451"/>
      <c r="P253" s="451"/>
      <c r="Q253" s="451"/>
      <c r="R253" s="451"/>
      <c r="S253" s="451"/>
      <c r="T253" s="451"/>
      <c r="U253" s="451"/>
    </row>
    <row r="254" spans="1:21" ht="63" customHeight="1" x14ac:dyDescent="0.25">
      <c r="B254" s="63" t="s">
        <v>101</v>
      </c>
      <c r="D254" s="63"/>
      <c r="E254" s="63"/>
    </row>
    <row r="255" spans="1:21" s="317" customFormat="1" ht="33" customHeight="1" x14ac:dyDescent="0.45">
      <c r="B255" s="452" t="s">
        <v>293</v>
      </c>
      <c r="C255" s="452"/>
      <c r="D255" s="452"/>
      <c r="E255" s="452"/>
      <c r="F255" s="452"/>
      <c r="G255" s="452"/>
      <c r="H255" s="452"/>
      <c r="I255" s="452"/>
      <c r="J255" s="452"/>
      <c r="K255" s="452"/>
      <c r="L255" s="318"/>
      <c r="M255" s="318"/>
      <c r="N255" s="319"/>
      <c r="O255" s="318"/>
      <c r="P255" s="318"/>
    </row>
    <row r="256" spans="1:21" s="317" customFormat="1" ht="33" customHeight="1" x14ac:dyDescent="0.45">
      <c r="B256" s="452" t="s">
        <v>294</v>
      </c>
      <c r="C256" s="452"/>
      <c r="D256" s="452"/>
      <c r="E256" s="452"/>
      <c r="F256" s="452"/>
      <c r="G256" s="452"/>
      <c r="H256" s="452"/>
      <c r="I256" s="452"/>
      <c r="J256" s="452"/>
      <c r="K256" s="452"/>
      <c r="L256" s="318"/>
      <c r="M256" s="318"/>
      <c r="N256" s="319" t="s">
        <v>295</v>
      </c>
      <c r="O256" s="318"/>
      <c r="P256" s="318"/>
    </row>
    <row r="257" spans="3:21" s="7" customFormat="1" x14ac:dyDescent="0.2">
      <c r="C257" s="64"/>
    </row>
    <row r="258" spans="3:21" x14ac:dyDescent="0.2">
      <c r="Q258" s="218">
        <f>Q85-'додаток сесія_24_25табло'!Q80</f>
        <v>0</v>
      </c>
      <c r="R258" s="218">
        <f>R85-'додаток сесія_24_25табло'!R80</f>
        <v>8000</v>
      </c>
      <c r="S258" s="218">
        <f>S85-'додаток сесія_24_25табло'!S80</f>
        <v>0</v>
      </c>
      <c r="T258" s="218">
        <f>T85-'додаток сесія_24_25табло'!T80</f>
        <v>5300</v>
      </c>
      <c r="U258" s="218">
        <f>U85-'додаток сесія_24_25табло'!U80</f>
        <v>13300</v>
      </c>
    </row>
    <row r="259" spans="3:21" x14ac:dyDescent="0.2">
      <c r="Q259" s="218">
        <f>Q252-'додаток сесія_24_25викна'!Q249</f>
        <v>18.285000000149012</v>
      </c>
      <c r="R259" s="218">
        <f>R252-'додаток сесія_24_25викна'!R249</f>
        <v>8000</v>
      </c>
      <c r="S259" s="218">
        <f>S252-'додаток сесія_24_25викна'!S249</f>
        <v>0</v>
      </c>
      <c r="T259" s="218">
        <f>T252-'додаток сесія_24_25викна'!T249</f>
        <v>5700</v>
      </c>
      <c r="U259" s="218">
        <f>U252-'додаток сесія_24_25викна'!U249</f>
        <v>13718.285000000149</v>
      </c>
    </row>
    <row r="260" spans="3:21" x14ac:dyDescent="0.2">
      <c r="Q260" s="218">
        <f t="shared" ref="Q260:S260" si="22">Q259-Q258</f>
        <v>18.285000000149012</v>
      </c>
      <c r="R260" s="218">
        <f t="shared" si="22"/>
        <v>0</v>
      </c>
      <c r="S260" s="218">
        <f t="shared" si="22"/>
        <v>0</v>
      </c>
      <c r="T260" s="218">
        <f t="shared" ref="T260" si="23">T259-T258</f>
        <v>400</v>
      </c>
      <c r="U260" s="218">
        <f t="shared" ref="U260" si="24">U259-U258</f>
        <v>418.28500000014901</v>
      </c>
    </row>
    <row r="261" spans="3:21" x14ac:dyDescent="0.2">
      <c r="Q261" s="218">
        <f>Q252-'додаток сесія_24_25викна'!Q249</f>
        <v>18.285000000149012</v>
      </c>
      <c r="R261" s="218">
        <f>R252-'додаток сесія_24_25викна'!R249</f>
        <v>8000</v>
      </c>
      <c r="S261" s="218">
        <f>S252-'додаток сесія_24_25викна'!S249</f>
        <v>0</v>
      </c>
      <c r="T261" s="218">
        <f>T252-'додаток сесія_24_25викна'!T249</f>
        <v>5700</v>
      </c>
      <c r="U261" s="218">
        <f>U252-'додаток сесія_24_25викна'!U249</f>
        <v>13718.285000000149</v>
      </c>
    </row>
  </sheetData>
  <sheetProtection selectLockedCells="1" selectUnlockedCells="1"/>
  <mergeCells count="51">
    <mergeCell ref="E88:E223"/>
    <mergeCell ref="B88:B223"/>
    <mergeCell ref="I14:I15"/>
    <mergeCell ref="J14:J15"/>
    <mergeCell ref="K14:K15"/>
    <mergeCell ref="E17:E24"/>
    <mergeCell ref="B44:B51"/>
    <mergeCell ref="E44:E50"/>
    <mergeCell ref="L3:U3"/>
    <mergeCell ref="M9:U9"/>
    <mergeCell ref="A10:U10"/>
    <mergeCell ref="A12:A15"/>
    <mergeCell ref="B12:B15"/>
    <mergeCell ref="C12:C15"/>
    <mergeCell ref="D12:D15"/>
    <mergeCell ref="E12:E15"/>
    <mergeCell ref="F12:F15"/>
    <mergeCell ref="G12:U13"/>
    <mergeCell ref="S14:S15"/>
    <mergeCell ref="T14:T15"/>
    <mergeCell ref="U14:U15"/>
    <mergeCell ref="M14:M15"/>
    <mergeCell ref="N14:N15"/>
    <mergeCell ref="O14:O15"/>
    <mergeCell ref="P14:P15"/>
    <mergeCell ref="Q14:Q15"/>
    <mergeCell ref="R14:R15"/>
    <mergeCell ref="G14:G15"/>
    <mergeCell ref="H14:H15"/>
    <mergeCell ref="L14:L15"/>
    <mergeCell ref="A64:A65"/>
    <mergeCell ref="B72:B74"/>
    <mergeCell ref="A73:A74"/>
    <mergeCell ref="A85:B85"/>
    <mergeCell ref="A224:B224"/>
    <mergeCell ref="A7:U7"/>
    <mergeCell ref="A6:U6"/>
    <mergeCell ref="B256:K256"/>
    <mergeCell ref="A246:B246"/>
    <mergeCell ref="C246:E246"/>
    <mergeCell ref="E248:E249"/>
    <mergeCell ref="A251:B251"/>
    <mergeCell ref="C251:E251"/>
    <mergeCell ref="A252:B252"/>
    <mergeCell ref="B255:K255"/>
    <mergeCell ref="C224:E224"/>
    <mergeCell ref="B225:B231"/>
    <mergeCell ref="E225:E228"/>
    <mergeCell ref="E229:E230"/>
    <mergeCell ref="B253:U253"/>
    <mergeCell ref="A241:B241"/>
  </mergeCells>
  <printOptions horizontalCentered="1"/>
  <pageMargins left="0.39370078740157483" right="0.39370078740157483" top="0.59055118110236227" bottom="0.39370078740157483" header="0.43307086614173229" footer="0"/>
  <pageSetup paperSize="9" scale="55" firstPageNumber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43" max="20" man="1"/>
    <brk id="75" max="20" man="1"/>
    <brk id="20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7"/>
  <sheetViews>
    <sheetView view="pageBreakPreview" zoomScale="91" zoomScaleNormal="100" zoomScaleSheetLayoutView="91" workbookViewId="0">
      <pane xSplit="13" ySplit="13" topLeftCell="N14" activePane="bottomRight" state="frozen"/>
      <selection pane="topRight" activeCell="N1" sqref="N1"/>
      <selection pane="bottomLeft" activeCell="A12" sqref="A12"/>
      <selection pane="bottomRight" activeCell="S263" sqref="S263"/>
    </sheetView>
  </sheetViews>
  <sheetFormatPr defaultRowHeight="13.5" outlineLevelRow="3" x14ac:dyDescent="0.2"/>
  <cols>
    <col min="1" max="1" width="5.28515625" style="1" customWidth="1"/>
    <col min="2" max="2" width="22.7109375" style="1" customWidth="1"/>
    <col min="3" max="3" width="60.42578125" style="2" customWidth="1"/>
    <col min="4" max="4" width="9.140625" style="1" customWidth="1"/>
    <col min="5" max="5" width="21.285156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4.5703125" style="1" customWidth="1"/>
    <col min="15" max="15" width="14.42578125" style="1" customWidth="1"/>
    <col min="16" max="16" width="14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9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 t="s">
        <v>190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234"/>
      <c r="L2" s="234"/>
      <c r="M2" s="234"/>
      <c r="N2" s="234"/>
      <c r="O2" s="234"/>
      <c r="P2" s="234"/>
      <c r="Q2" s="234"/>
      <c r="R2" s="87" t="s">
        <v>284</v>
      </c>
      <c r="T2" s="234"/>
      <c r="U2" s="234"/>
    </row>
    <row r="3" spans="1:21" ht="15.75" customHeight="1" x14ac:dyDescent="0.3">
      <c r="A3" s="3"/>
      <c r="B3" s="3"/>
      <c r="C3" s="4"/>
      <c r="D3" s="3"/>
      <c r="E3" s="3"/>
      <c r="F3" s="3"/>
      <c r="G3" s="3"/>
      <c r="H3" s="3"/>
      <c r="I3" s="3"/>
      <c r="J3" s="234"/>
      <c r="K3" s="234"/>
      <c r="L3" s="416"/>
      <c r="M3" s="417"/>
      <c r="N3" s="417"/>
      <c r="O3" s="417"/>
      <c r="P3" s="417"/>
      <c r="Q3" s="417"/>
      <c r="R3" s="417"/>
      <c r="S3" s="417"/>
      <c r="T3" s="417"/>
      <c r="U3" s="417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236"/>
      <c r="K4" s="236"/>
      <c r="L4" s="236"/>
      <c r="M4" s="237"/>
      <c r="N4" s="237"/>
      <c r="O4" s="237"/>
      <c r="P4" s="237"/>
      <c r="Q4" s="237"/>
      <c r="R4" s="237"/>
      <c r="S4" s="237"/>
      <c r="T4" s="237"/>
      <c r="U4" s="237"/>
    </row>
    <row r="5" spans="1:21" ht="15.75" customHeight="1" x14ac:dyDescent="0.3">
      <c r="A5" s="3"/>
      <c r="B5" s="3"/>
      <c r="C5" s="4"/>
      <c r="D5" s="3"/>
      <c r="E5" s="3"/>
      <c r="F5" s="3"/>
      <c r="G5" s="3"/>
      <c r="H5" s="3"/>
      <c r="I5" s="3"/>
      <c r="J5" s="236"/>
      <c r="K5" s="236"/>
      <c r="L5" s="236"/>
      <c r="M5" s="237"/>
      <c r="N5" s="237"/>
      <c r="O5" s="237"/>
      <c r="P5" s="237"/>
      <c r="Q5" s="237"/>
      <c r="R5" s="237"/>
      <c r="S5" s="237"/>
      <c r="T5" s="237"/>
      <c r="U5" s="237"/>
    </row>
    <row r="6" spans="1:21" ht="15.75" customHeight="1" x14ac:dyDescent="0.3">
      <c r="A6" s="3"/>
      <c r="B6" s="3"/>
      <c r="C6" s="4"/>
      <c r="D6" s="3"/>
      <c r="E6" s="3"/>
      <c r="F6" s="3"/>
      <c r="G6" s="3"/>
      <c r="H6" s="3"/>
      <c r="I6" s="3"/>
      <c r="J6" s="235"/>
      <c r="K6" s="235"/>
      <c r="L6" s="235"/>
      <c r="M6" s="419"/>
      <c r="N6" s="419"/>
      <c r="O6" s="420"/>
      <c r="P6" s="420"/>
      <c r="Q6" s="420"/>
      <c r="R6" s="420"/>
      <c r="S6" s="420"/>
      <c r="T6" s="420"/>
      <c r="U6" s="420"/>
    </row>
    <row r="7" spans="1:21" ht="24" customHeight="1" x14ac:dyDescent="0.4">
      <c r="A7" s="418" t="s">
        <v>0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</row>
    <row r="9" spans="1:21" s="246" customFormat="1" ht="39.75" customHeight="1" x14ac:dyDescent="0.25">
      <c r="A9" s="434" t="s">
        <v>1</v>
      </c>
      <c r="B9" s="429" t="s">
        <v>2</v>
      </c>
      <c r="C9" s="440" t="s">
        <v>3</v>
      </c>
      <c r="D9" s="429" t="s">
        <v>4</v>
      </c>
      <c r="E9" s="429" t="s">
        <v>5</v>
      </c>
      <c r="F9" s="429" t="s">
        <v>218</v>
      </c>
      <c r="G9" s="429" t="s">
        <v>6</v>
      </c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  <c r="U9" s="432"/>
    </row>
    <row r="10" spans="1:21" s="246" customFormat="1" ht="15.75" x14ac:dyDescent="0.25">
      <c r="A10" s="435"/>
      <c r="B10" s="430"/>
      <c r="C10" s="441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3"/>
    </row>
    <row r="11" spans="1:21" s="246" customFormat="1" ht="26.25" customHeight="1" x14ac:dyDescent="0.25">
      <c r="A11" s="435"/>
      <c r="B11" s="430"/>
      <c r="C11" s="441"/>
      <c r="D11" s="430"/>
      <c r="E11" s="430"/>
      <c r="F11" s="430"/>
      <c r="G11" s="427">
        <v>2016</v>
      </c>
      <c r="H11" s="427">
        <v>2017</v>
      </c>
      <c r="I11" s="427">
        <v>2018</v>
      </c>
      <c r="J11" s="427">
        <v>2019</v>
      </c>
      <c r="K11" s="427">
        <v>2020</v>
      </c>
      <c r="L11" s="427">
        <v>2021</v>
      </c>
      <c r="M11" s="427">
        <v>2022</v>
      </c>
      <c r="N11" s="427" t="s">
        <v>209</v>
      </c>
      <c r="O11" s="427">
        <v>2023</v>
      </c>
      <c r="P11" s="427">
        <v>2024</v>
      </c>
      <c r="Q11" s="427">
        <v>2025</v>
      </c>
      <c r="R11" s="427">
        <v>2026</v>
      </c>
      <c r="S11" s="427">
        <v>2027</v>
      </c>
      <c r="T11" s="427">
        <v>2028</v>
      </c>
      <c r="U11" s="436" t="s">
        <v>7</v>
      </c>
    </row>
    <row r="12" spans="1:21" s="246" customFormat="1" ht="20.25" customHeight="1" x14ac:dyDescent="0.25">
      <c r="A12" s="435"/>
      <c r="B12" s="431"/>
      <c r="C12" s="441"/>
      <c r="D12" s="431"/>
      <c r="E12" s="431"/>
      <c r="F12" s="431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37"/>
    </row>
    <row r="13" spans="1:21" ht="21" hidden="1" customHeight="1" x14ac:dyDescent="0.2">
      <c r="A13" s="130">
        <v>1</v>
      </c>
      <c r="B13" s="201">
        <v>2</v>
      </c>
      <c r="C13" s="201">
        <v>3</v>
      </c>
      <c r="D13" s="201">
        <v>4</v>
      </c>
      <c r="E13" s="201">
        <v>5</v>
      </c>
      <c r="F13" s="201">
        <v>6</v>
      </c>
      <c r="G13" s="201"/>
      <c r="H13" s="201"/>
      <c r="I13" s="201"/>
      <c r="J13" s="201"/>
      <c r="K13" s="201"/>
      <c r="L13" s="201"/>
      <c r="M13" s="201"/>
      <c r="N13" s="201">
        <v>7</v>
      </c>
      <c r="O13" s="201">
        <v>8</v>
      </c>
      <c r="P13" s="201">
        <v>9</v>
      </c>
      <c r="Q13" s="201">
        <v>10</v>
      </c>
      <c r="R13" s="201">
        <v>11</v>
      </c>
      <c r="S13" s="201">
        <v>12</v>
      </c>
      <c r="T13" s="201">
        <v>13</v>
      </c>
      <c r="U13" s="202">
        <v>14</v>
      </c>
    </row>
    <row r="14" spans="1:21" s="7" customFormat="1" ht="57" hidden="1" customHeight="1" outlineLevel="1" x14ac:dyDescent="0.2">
      <c r="A14" s="101">
        <v>1</v>
      </c>
      <c r="B14" s="219" t="s">
        <v>8</v>
      </c>
      <c r="C14" s="197" t="s">
        <v>9</v>
      </c>
      <c r="D14" s="93" t="s">
        <v>10</v>
      </c>
      <c r="E14" s="425" t="s">
        <v>271</v>
      </c>
      <c r="F14" s="108" t="s">
        <v>11</v>
      </c>
      <c r="G14" s="22">
        <v>73702.679999999993</v>
      </c>
      <c r="H14" s="22">
        <f>94537.8+830</f>
        <v>95367.8</v>
      </c>
      <c r="I14" s="22">
        <v>114042.5</v>
      </c>
      <c r="J14" s="22">
        <v>143546.20000000001</v>
      </c>
      <c r="K14" s="22">
        <v>227890.4</v>
      </c>
      <c r="L14" s="22">
        <f>59251.7+11539-1500+103.7+3900</f>
        <v>73294.399999999994</v>
      </c>
      <c r="M14" s="22">
        <v>0</v>
      </c>
      <c r="N14" s="22">
        <f>G14+H14+I14+J14+K14+L14+M14</f>
        <v>727843.98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f>SUM(G14:T14)-N14</f>
        <v>727843.98</v>
      </c>
    </row>
    <row r="15" spans="1:21" s="7" customFormat="1" ht="110.25" hidden="1" customHeight="1" outlineLevel="1" x14ac:dyDescent="0.2">
      <c r="A15" s="232">
        <v>1</v>
      </c>
      <c r="B15" s="230"/>
      <c r="C15" s="198" t="s">
        <v>262</v>
      </c>
      <c r="D15" s="95" t="s">
        <v>258</v>
      </c>
      <c r="E15" s="426"/>
      <c r="F15" s="34" t="s">
        <v>11</v>
      </c>
      <c r="G15" s="6">
        <v>9960</v>
      </c>
      <c r="H15" s="6">
        <v>9960</v>
      </c>
      <c r="I15" s="6">
        <v>400</v>
      </c>
      <c r="J15" s="6">
        <v>2102.1999999999998</v>
      </c>
      <c r="K15" s="6">
        <v>20800</v>
      </c>
      <c r="L15" s="6">
        <v>0</v>
      </c>
      <c r="M15" s="6">
        <v>0</v>
      </c>
      <c r="N15" s="6">
        <f t="shared" ref="N15:N78" si="0">G15+H15+I15+J15+K15+L15+M15</f>
        <v>43222.2</v>
      </c>
      <c r="O15" s="6">
        <f>0+5200</f>
        <v>5200</v>
      </c>
      <c r="P15" s="6">
        <v>5600</v>
      </c>
      <c r="Q15" s="6">
        <f>7000-7000</f>
        <v>0</v>
      </c>
      <c r="R15" s="6">
        <f>8000-8000</f>
        <v>0</v>
      </c>
      <c r="S15" s="6">
        <f>9000-9000</f>
        <v>0</v>
      </c>
      <c r="T15" s="6">
        <f>10000-10000</f>
        <v>0</v>
      </c>
      <c r="U15" s="6">
        <f t="shared" ref="U15:U78" si="1">SUM(G15:T15)-N15</f>
        <v>54022.2</v>
      </c>
    </row>
    <row r="16" spans="1:21" s="7" customFormat="1" ht="48.75" hidden="1" customHeight="1" outlineLevel="1" x14ac:dyDescent="0.2">
      <c r="A16" s="8"/>
      <c r="B16" s="230"/>
      <c r="C16" s="198" t="s">
        <v>12</v>
      </c>
      <c r="D16" s="95" t="s">
        <v>258</v>
      </c>
      <c r="E16" s="426"/>
      <c r="F16" s="24" t="s">
        <v>11</v>
      </c>
      <c r="G16" s="6">
        <v>17132.7</v>
      </c>
      <c r="H16" s="9">
        <v>15000</v>
      </c>
      <c r="I16" s="9">
        <v>8150</v>
      </c>
      <c r="J16" s="9">
        <v>7800</v>
      </c>
      <c r="K16" s="9">
        <v>13000</v>
      </c>
      <c r="L16" s="9">
        <v>12500</v>
      </c>
      <c r="M16" s="9">
        <v>13750</v>
      </c>
      <c r="N16" s="6">
        <f t="shared" si="0"/>
        <v>87332.7</v>
      </c>
      <c r="O16" s="9">
        <f>15125-5200</f>
        <v>9925</v>
      </c>
      <c r="P16" s="9">
        <v>0</v>
      </c>
      <c r="Q16" s="9">
        <f>20000-20000</f>
        <v>0</v>
      </c>
      <c r="R16" s="9">
        <f>22000-22000</f>
        <v>0</v>
      </c>
      <c r="S16" s="9">
        <f>18000-18000</f>
        <v>0</v>
      </c>
      <c r="T16" s="9">
        <f>20000-20000</f>
        <v>0</v>
      </c>
      <c r="U16" s="6">
        <f t="shared" si="1"/>
        <v>97257.7</v>
      </c>
    </row>
    <row r="17" spans="1:21" s="7" customFormat="1" ht="46.5" hidden="1" customHeight="1" outlineLevel="1" x14ac:dyDescent="0.2">
      <c r="A17" s="8"/>
      <c r="B17" s="230"/>
      <c r="C17" s="198" t="s">
        <v>13</v>
      </c>
      <c r="D17" s="95" t="s">
        <v>14</v>
      </c>
      <c r="E17" s="426"/>
      <c r="F17" s="24" t="s">
        <v>11</v>
      </c>
      <c r="G17" s="6">
        <v>100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6">
        <f t="shared" si="0"/>
        <v>100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6">
        <f t="shared" si="1"/>
        <v>100</v>
      </c>
    </row>
    <row r="18" spans="1:21" s="7" customFormat="1" ht="46.5" hidden="1" customHeight="1" outlineLevel="1" x14ac:dyDescent="0.2">
      <c r="A18" s="8"/>
      <c r="B18" s="230"/>
      <c r="C18" s="198" t="s">
        <v>15</v>
      </c>
      <c r="D18" s="95" t="s">
        <v>14</v>
      </c>
      <c r="E18" s="426"/>
      <c r="F18" s="24" t="s">
        <v>11</v>
      </c>
      <c r="G18" s="6">
        <v>290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6">
        <f t="shared" si="0"/>
        <v>290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6">
        <f t="shared" si="1"/>
        <v>290</v>
      </c>
    </row>
    <row r="19" spans="1:21" s="7" customFormat="1" ht="42.75" hidden="1" customHeight="1" outlineLevel="1" x14ac:dyDescent="0.2">
      <c r="A19" s="8"/>
      <c r="B19" s="230"/>
      <c r="C19" s="198" t="s">
        <v>16</v>
      </c>
      <c r="D19" s="95" t="s">
        <v>14</v>
      </c>
      <c r="E19" s="426"/>
      <c r="F19" s="24" t="s">
        <v>11</v>
      </c>
      <c r="G19" s="6">
        <v>60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6">
        <f t="shared" si="0"/>
        <v>60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6">
        <f t="shared" si="1"/>
        <v>60</v>
      </c>
    </row>
    <row r="20" spans="1:21" s="7" customFormat="1" ht="44.25" hidden="1" customHeight="1" outlineLevel="1" x14ac:dyDescent="0.2">
      <c r="A20" s="8"/>
      <c r="B20" s="230"/>
      <c r="C20" s="198" t="s">
        <v>17</v>
      </c>
      <c r="D20" s="95" t="s">
        <v>14</v>
      </c>
      <c r="E20" s="426"/>
      <c r="F20" s="24" t="s">
        <v>11</v>
      </c>
      <c r="G20" s="6">
        <v>100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100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100</v>
      </c>
    </row>
    <row r="21" spans="1:21" s="7" customFormat="1" ht="42" hidden="1" customHeight="1" outlineLevel="1" collapsed="1" x14ac:dyDescent="0.2">
      <c r="A21" s="8"/>
      <c r="B21" s="230"/>
      <c r="C21" s="198" t="s">
        <v>18</v>
      </c>
      <c r="D21" s="95" t="s">
        <v>25</v>
      </c>
      <c r="E21" s="426"/>
      <c r="F21" s="24" t="s">
        <v>11</v>
      </c>
      <c r="G21" s="9">
        <v>0</v>
      </c>
      <c r="H21" s="9">
        <v>3500</v>
      </c>
      <c r="I21" s="9">
        <v>1200</v>
      </c>
      <c r="J21" s="9">
        <v>20000</v>
      </c>
      <c r="K21" s="9">
        <v>12050</v>
      </c>
      <c r="L21" s="9">
        <v>15500</v>
      </c>
      <c r="M21" s="9">
        <v>3850</v>
      </c>
      <c r="N21" s="6">
        <f t="shared" si="0"/>
        <v>56100</v>
      </c>
      <c r="O21" s="9">
        <v>4235</v>
      </c>
      <c r="P21" s="9">
        <v>0</v>
      </c>
      <c r="Q21" s="9">
        <f>3500-3500</f>
        <v>0</v>
      </c>
      <c r="R21" s="9">
        <f>4000-4000</f>
        <v>0</v>
      </c>
      <c r="S21" s="9">
        <f>4500-4500</f>
        <v>0</v>
      </c>
      <c r="T21" s="9">
        <f>5000-5000</f>
        <v>0</v>
      </c>
      <c r="U21" s="6">
        <f t="shared" si="1"/>
        <v>60335</v>
      </c>
    </row>
    <row r="22" spans="1:21" s="7" customFormat="1" ht="46.5" hidden="1" customHeight="1" outlineLevel="1" x14ac:dyDescent="0.2">
      <c r="A22" s="10"/>
      <c r="B22" s="11"/>
      <c r="C22" s="198" t="s">
        <v>19</v>
      </c>
      <c r="D22" s="96" t="s">
        <v>14</v>
      </c>
      <c r="E22" s="10"/>
      <c r="F22" s="24" t="s">
        <v>11</v>
      </c>
      <c r="G22" s="9">
        <v>0</v>
      </c>
      <c r="H22" s="9">
        <v>200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200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200</v>
      </c>
    </row>
    <row r="23" spans="1:21" s="7" customFormat="1" ht="43.5" hidden="1" customHeight="1" outlineLevel="1" x14ac:dyDescent="0.2">
      <c r="A23" s="8"/>
      <c r="B23" s="10"/>
      <c r="C23" s="198" t="s">
        <v>20</v>
      </c>
      <c r="D23" s="95" t="s">
        <v>14</v>
      </c>
      <c r="E23" s="10"/>
      <c r="F23" s="24" t="s">
        <v>11</v>
      </c>
      <c r="G23" s="9">
        <v>0</v>
      </c>
      <c r="H23" s="6">
        <v>60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60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60</v>
      </c>
    </row>
    <row r="24" spans="1:21" s="7" customFormat="1" ht="54.75" hidden="1" customHeight="1" outlineLevel="1" x14ac:dyDescent="0.2">
      <c r="A24" s="8"/>
      <c r="B24" s="10"/>
      <c r="C24" s="199" t="s">
        <v>21</v>
      </c>
      <c r="D24" s="96" t="s">
        <v>14</v>
      </c>
      <c r="E24" s="10"/>
      <c r="F24" s="24" t="s">
        <v>11</v>
      </c>
      <c r="G24" s="9">
        <v>0</v>
      </c>
      <c r="H24" s="6">
        <v>150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6">
        <f t="shared" si="0"/>
        <v>150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6">
        <f t="shared" si="1"/>
        <v>150</v>
      </c>
    </row>
    <row r="25" spans="1:21" s="7" customFormat="1" ht="44.25" hidden="1" customHeight="1" outlineLevel="1" x14ac:dyDescent="0.2">
      <c r="A25" s="8"/>
      <c r="B25" s="10"/>
      <c r="C25" s="197" t="s">
        <v>22</v>
      </c>
      <c r="D25" s="93" t="s">
        <v>14</v>
      </c>
      <c r="E25" s="10"/>
      <c r="F25" s="24" t="s">
        <v>11</v>
      </c>
      <c r="G25" s="9">
        <v>0</v>
      </c>
      <c r="H25" s="6">
        <v>150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6">
        <f t="shared" si="0"/>
        <v>150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6">
        <f t="shared" si="1"/>
        <v>150</v>
      </c>
    </row>
    <row r="26" spans="1:21" s="7" customFormat="1" ht="47.25" hidden="1" customHeight="1" outlineLevel="1" collapsed="1" x14ac:dyDescent="0.2">
      <c r="A26" s="8"/>
      <c r="B26" s="11"/>
      <c r="C26" s="198" t="s">
        <v>23</v>
      </c>
      <c r="D26" s="95" t="s">
        <v>209</v>
      </c>
      <c r="E26" s="10"/>
      <c r="F26" s="24" t="s">
        <v>11</v>
      </c>
      <c r="G26" s="9">
        <v>0</v>
      </c>
      <c r="H26" s="6">
        <v>5500</v>
      </c>
      <c r="I26" s="6">
        <v>42900</v>
      </c>
      <c r="J26" s="6">
        <v>11871.2</v>
      </c>
      <c r="K26" s="6">
        <v>11940.3</v>
      </c>
      <c r="L26" s="6">
        <v>6000</v>
      </c>
      <c r="M26" s="6">
        <v>0</v>
      </c>
      <c r="N26" s="6">
        <f t="shared" si="0"/>
        <v>78211.5</v>
      </c>
      <c r="O26" s="6">
        <v>0</v>
      </c>
      <c r="P26" s="6">
        <v>0</v>
      </c>
      <c r="Q26" s="6">
        <f>5000-5000</f>
        <v>0</v>
      </c>
      <c r="R26" s="6">
        <f>5000-5000</f>
        <v>0</v>
      </c>
      <c r="S26" s="6">
        <v>0</v>
      </c>
      <c r="T26" s="6">
        <v>0</v>
      </c>
      <c r="U26" s="6">
        <f t="shared" si="1"/>
        <v>78211.5</v>
      </c>
    </row>
    <row r="27" spans="1:21" s="7" customFormat="1" ht="49.5" hidden="1" customHeight="1" outlineLevel="1" x14ac:dyDescent="0.2">
      <c r="A27" s="75"/>
      <c r="B27" s="13"/>
      <c r="C27" s="198" t="s">
        <v>24</v>
      </c>
      <c r="D27" s="95" t="s">
        <v>25</v>
      </c>
      <c r="E27" s="18"/>
      <c r="F27" s="24" t="s">
        <v>11</v>
      </c>
      <c r="G27" s="6">
        <v>2000</v>
      </c>
      <c r="H27" s="6">
        <v>2000</v>
      </c>
      <c r="I27" s="6">
        <v>3250</v>
      </c>
      <c r="J27" s="6">
        <v>4600</v>
      </c>
      <c r="K27" s="6">
        <v>4000</v>
      </c>
      <c r="L27" s="6">
        <f>0+397.7</f>
        <v>397.7</v>
      </c>
      <c r="M27" s="6">
        <v>0</v>
      </c>
      <c r="N27" s="6">
        <f t="shared" si="0"/>
        <v>16247.7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f t="shared" si="1"/>
        <v>16247.7</v>
      </c>
    </row>
    <row r="28" spans="1:21" s="7" customFormat="1" ht="47.25" hidden="1" customHeight="1" outlineLevel="1" x14ac:dyDescent="0.2">
      <c r="A28" s="8"/>
      <c r="B28" s="11"/>
      <c r="C28" s="198" t="s">
        <v>26</v>
      </c>
      <c r="D28" s="95" t="s">
        <v>25</v>
      </c>
      <c r="E28" s="10"/>
      <c r="F28" s="24" t="s">
        <v>11</v>
      </c>
      <c r="G28" s="9">
        <v>100</v>
      </c>
      <c r="H28" s="6">
        <v>2000</v>
      </c>
      <c r="I28" s="6">
        <v>3100</v>
      </c>
      <c r="J28" s="6">
        <v>12000</v>
      </c>
      <c r="K28" s="6">
        <v>14573.5</v>
      </c>
      <c r="L28" s="6">
        <f>1017.3</f>
        <v>1017.3</v>
      </c>
      <c r="M28" s="6">
        <v>0</v>
      </c>
      <c r="N28" s="6">
        <f t="shared" si="0"/>
        <v>32790.800000000003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f t="shared" si="1"/>
        <v>32790.800000000003</v>
      </c>
    </row>
    <row r="29" spans="1:21" s="7" customFormat="1" ht="45" hidden="1" customHeight="1" outlineLevel="1" x14ac:dyDescent="0.2">
      <c r="A29" s="8"/>
      <c r="B29" s="11"/>
      <c r="C29" s="198" t="s">
        <v>27</v>
      </c>
      <c r="D29" s="95" t="s">
        <v>25</v>
      </c>
      <c r="E29" s="10"/>
      <c r="F29" s="24" t="s">
        <v>11</v>
      </c>
      <c r="G29" s="6">
        <v>1500</v>
      </c>
      <c r="H29" s="6">
        <v>1680</v>
      </c>
      <c r="I29" s="6">
        <v>1800</v>
      </c>
      <c r="J29" s="6">
        <v>3450</v>
      </c>
      <c r="K29" s="6">
        <v>3000</v>
      </c>
      <c r="L29" s="6">
        <f>0+1500+815.9</f>
        <v>2315.9</v>
      </c>
      <c r="M29" s="6">
        <v>0</v>
      </c>
      <c r="N29" s="6">
        <f t="shared" si="0"/>
        <v>13745.9</v>
      </c>
      <c r="O29" s="6">
        <f>2850.5</f>
        <v>2850.5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f t="shared" si="1"/>
        <v>16596.400000000001</v>
      </c>
    </row>
    <row r="30" spans="1:21" s="7" customFormat="1" ht="66.75" hidden="1" customHeight="1" outlineLevel="1" collapsed="1" x14ac:dyDescent="0.2">
      <c r="A30" s="8"/>
      <c r="B30" s="11"/>
      <c r="C30" s="198" t="s">
        <v>219</v>
      </c>
      <c r="D30" s="95" t="s">
        <v>209</v>
      </c>
      <c r="E30" s="10"/>
      <c r="F30" s="24" t="s">
        <v>11</v>
      </c>
      <c r="G30" s="9">
        <v>0</v>
      </c>
      <c r="H30" s="6">
        <f>5650</f>
        <v>5650</v>
      </c>
      <c r="I30" s="6">
        <v>6800</v>
      </c>
      <c r="J30" s="6">
        <v>8000</v>
      </c>
      <c r="K30" s="6">
        <v>9500</v>
      </c>
      <c r="L30" s="6">
        <v>3500</v>
      </c>
      <c r="M30" s="6">
        <v>3850</v>
      </c>
      <c r="N30" s="6">
        <f t="shared" si="0"/>
        <v>37300</v>
      </c>
      <c r="O30" s="6">
        <f>4235-4235</f>
        <v>0</v>
      </c>
      <c r="P30" s="6">
        <v>0</v>
      </c>
      <c r="Q30" s="6">
        <f>7300-7300</f>
        <v>0</v>
      </c>
      <c r="R30" s="6">
        <f>8000-8000</f>
        <v>0</v>
      </c>
      <c r="S30" s="6">
        <f>8800-8800</f>
        <v>0</v>
      </c>
      <c r="T30" s="6">
        <f>10000-10000</f>
        <v>0</v>
      </c>
      <c r="U30" s="6">
        <f t="shared" si="1"/>
        <v>37300</v>
      </c>
    </row>
    <row r="31" spans="1:21" s="7" customFormat="1" ht="72" hidden="1" customHeight="1" outlineLevel="1" x14ac:dyDescent="0.2">
      <c r="A31" s="10"/>
      <c r="B31" s="11"/>
      <c r="C31" s="198" t="s">
        <v>210</v>
      </c>
      <c r="D31" s="96" t="s">
        <v>25</v>
      </c>
      <c r="E31" s="10"/>
      <c r="F31" s="24" t="s">
        <v>11</v>
      </c>
      <c r="G31" s="9">
        <v>0</v>
      </c>
      <c r="H31" s="6">
        <v>9116.2999999999993</v>
      </c>
      <c r="I31" s="9">
        <v>0</v>
      </c>
      <c r="J31" s="9">
        <v>200</v>
      </c>
      <c r="K31" s="9">
        <v>14000</v>
      </c>
      <c r="L31" s="9">
        <v>9713.6</v>
      </c>
      <c r="M31" s="9">
        <v>0</v>
      </c>
      <c r="N31" s="6">
        <f t="shared" si="0"/>
        <v>33029.9</v>
      </c>
      <c r="O31" s="9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f t="shared" si="1"/>
        <v>33029.9</v>
      </c>
    </row>
    <row r="32" spans="1:21" s="7" customFormat="1" ht="66" hidden="1" customHeight="1" outlineLevel="1" collapsed="1" x14ac:dyDescent="0.2">
      <c r="A32" s="10"/>
      <c r="B32" s="12"/>
      <c r="C32" s="198" t="s">
        <v>266</v>
      </c>
      <c r="D32" s="95" t="s">
        <v>209</v>
      </c>
      <c r="E32" s="10"/>
      <c r="F32" s="24" t="s">
        <v>11</v>
      </c>
      <c r="G32" s="9">
        <v>0</v>
      </c>
      <c r="H32" s="9">
        <v>0</v>
      </c>
      <c r="I32" s="6">
        <v>10000</v>
      </c>
      <c r="J32" s="9">
        <v>0</v>
      </c>
      <c r="K32" s="9">
        <v>0</v>
      </c>
      <c r="L32" s="9">
        <v>16000</v>
      </c>
      <c r="M32" s="9">
        <v>0</v>
      </c>
      <c r="N32" s="6">
        <f t="shared" si="0"/>
        <v>26000</v>
      </c>
      <c r="O32" s="9">
        <v>0</v>
      </c>
      <c r="P32" s="9">
        <v>0</v>
      </c>
      <c r="Q32" s="9">
        <f>40000-40000</f>
        <v>0</v>
      </c>
      <c r="R32" s="9">
        <v>0</v>
      </c>
      <c r="S32" s="9">
        <v>0</v>
      </c>
      <c r="T32" s="9">
        <v>0</v>
      </c>
      <c r="U32" s="6">
        <f t="shared" si="1"/>
        <v>26000</v>
      </c>
    </row>
    <row r="33" spans="1:21" s="7" customFormat="1" ht="71.25" hidden="1" customHeight="1" outlineLevel="1" x14ac:dyDescent="0.2">
      <c r="A33" s="10"/>
      <c r="B33" s="12"/>
      <c r="C33" s="198" t="s">
        <v>28</v>
      </c>
      <c r="D33" s="95" t="s">
        <v>25</v>
      </c>
      <c r="E33" s="10"/>
      <c r="F33" s="24" t="s">
        <v>11</v>
      </c>
      <c r="G33" s="9">
        <v>0</v>
      </c>
      <c r="H33" s="9">
        <v>0</v>
      </c>
      <c r="I33" s="9">
        <v>0</v>
      </c>
      <c r="J33" s="9">
        <v>2425</v>
      </c>
      <c r="K33" s="9">
        <v>1275</v>
      </c>
      <c r="L33" s="9">
        <v>286.39999999999998</v>
      </c>
      <c r="M33" s="9">
        <v>0</v>
      </c>
      <c r="N33" s="6">
        <f t="shared" si="0"/>
        <v>3986.4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6">
        <f t="shared" si="1"/>
        <v>3986.4</v>
      </c>
    </row>
    <row r="34" spans="1:21" s="7" customFormat="1" ht="69" hidden="1" customHeight="1" outlineLevel="1" collapsed="1" x14ac:dyDescent="0.2">
      <c r="A34" s="8"/>
      <c r="B34" s="11"/>
      <c r="C34" s="199" t="s">
        <v>272</v>
      </c>
      <c r="D34" s="96" t="s">
        <v>209</v>
      </c>
      <c r="E34" s="10"/>
      <c r="F34" s="24" t="s">
        <v>11</v>
      </c>
      <c r="G34" s="9">
        <v>0</v>
      </c>
      <c r="H34" s="9">
        <v>0</v>
      </c>
      <c r="I34" s="6">
        <v>10000</v>
      </c>
      <c r="J34" s="9">
        <v>0</v>
      </c>
      <c r="K34" s="9">
        <v>0</v>
      </c>
      <c r="L34" s="9">
        <v>0</v>
      </c>
      <c r="M34" s="9">
        <f>16000-16000</f>
        <v>0</v>
      </c>
      <c r="N34" s="6">
        <f t="shared" si="0"/>
        <v>10000</v>
      </c>
      <c r="O34" s="9">
        <v>0</v>
      </c>
      <c r="P34" s="9">
        <v>0</v>
      </c>
      <c r="Q34" s="9">
        <v>0</v>
      </c>
      <c r="R34" s="9">
        <f>50000-50000</f>
        <v>0</v>
      </c>
      <c r="S34" s="9">
        <v>0</v>
      </c>
      <c r="T34" s="9">
        <v>0</v>
      </c>
      <c r="U34" s="6">
        <f t="shared" si="1"/>
        <v>10000</v>
      </c>
    </row>
    <row r="35" spans="1:21" s="7" customFormat="1" ht="68.25" hidden="1" customHeight="1" outlineLevel="1" x14ac:dyDescent="0.2">
      <c r="A35" s="8"/>
      <c r="B35" s="11"/>
      <c r="C35" s="151" t="s">
        <v>267</v>
      </c>
      <c r="D35" s="93" t="s">
        <v>209</v>
      </c>
      <c r="E35" s="10"/>
      <c r="F35" s="24" t="s">
        <v>11</v>
      </c>
      <c r="G35" s="9">
        <v>0</v>
      </c>
      <c r="H35" s="9">
        <v>0</v>
      </c>
      <c r="I35" s="9">
        <v>0</v>
      </c>
      <c r="J35" s="6">
        <v>8000</v>
      </c>
      <c r="K35" s="9">
        <v>0</v>
      </c>
      <c r="L35" s="9">
        <v>0</v>
      </c>
      <c r="M35" s="9">
        <v>4000</v>
      </c>
      <c r="N35" s="6">
        <f t="shared" si="0"/>
        <v>12000</v>
      </c>
      <c r="O35" s="9">
        <f>18000-18000</f>
        <v>0</v>
      </c>
      <c r="P35" s="9">
        <v>0</v>
      </c>
      <c r="Q35" s="9">
        <v>0</v>
      </c>
      <c r="R35" s="9">
        <v>0</v>
      </c>
      <c r="S35" s="9">
        <v>0</v>
      </c>
      <c r="T35" s="9">
        <f>80000-80000</f>
        <v>0</v>
      </c>
      <c r="U35" s="6">
        <f t="shared" si="1"/>
        <v>12000</v>
      </c>
    </row>
    <row r="36" spans="1:21" s="7" customFormat="1" ht="83.25" hidden="1" customHeight="1" outlineLevel="1" x14ac:dyDescent="0.2">
      <c r="A36" s="10"/>
      <c r="B36" s="11"/>
      <c r="C36" s="111" t="s">
        <v>29</v>
      </c>
      <c r="D36" s="96" t="s">
        <v>25</v>
      </c>
      <c r="E36" s="10"/>
      <c r="F36" s="24" t="s">
        <v>11</v>
      </c>
      <c r="G36" s="9">
        <v>0</v>
      </c>
      <c r="H36" s="9">
        <v>0</v>
      </c>
      <c r="I36" s="9">
        <v>0</v>
      </c>
      <c r="J36" s="9">
        <v>0</v>
      </c>
      <c r="K36" s="6">
        <v>10000</v>
      </c>
      <c r="L36" s="6">
        <v>0</v>
      </c>
      <c r="M36" s="6">
        <v>0</v>
      </c>
      <c r="N36" s="6">
        <f t="shared" si="0"/>
        <v>10000</v>
      </c>
      <c r="O36" s="6">
        <v>16000</v>
      </c>
      <c r="P36" s="6">
        <v>0</v>
      </c>
      <c r="Q36" s="6">
        <v>0</v>
      </c>
      <c r="R36" s="6">
        <v>0</v>
      </c>
      <c r="S36" s="6">
        <f>60000-60000</f>
        <v>0</v>
      </c>
      <c r="T36" s="6">
        <v>0</v>
      </c>
      <c r="U36" s="6">
        <f t="shared" si="1"/>
        <v>26000</v>
      </c>
    </row>
    <row r="37" spans="1:21" s="7" customFormat="1" ht="69.75" hidden="1" customHeight="1" outlineLevel="1" x14ac:dyDescent="0.2">
      <c r="A37" s="70"/>
      <c r="B37" s="82"/>
      <c r="C37" s="109" t="s">
        <v>30</v>
      </c>
      <c r="D37" s="98" t="s">
        <v>209</v>
      </c>
      <c r="E37" s="18"/>
      <c r="F37" s="24" t="s">
        <v>11</v>
      </c>
      <c r="G37" s="9">
        <v>0</v>
      </c>
      <c r="H37" s="6">
        <f>5000-830</f>
        <v>4170</v>
      </c>
      <c r="I37" s="6">
        <v>2000</v>
      </c>
      <c r="J37" s="6">
        <v>2500</v>
      </c>
      <c r="K37" s="6">
        <v>0</v>
      </c>
      <c r="L37" s="6">
        <v>3500</v>
      </c>
      <c r="M37" s="6">
        <v>2000</v>
      </c>
      <c r="N37" s="6">
        <f t="shared" si="0"/>
        <v>14170</v>
      </c>
      <c r="O37" s="6">
        <f>2000-2000</f>
        <v>0</v>
      </c>
      <c r="P37" s="6">
        <v>0</v>
      </c>
      <c r="Q37" s="6">
        <v>0</v>
      </c>
      <c r="R37" s="6">
        <f>5000-5000</f>
        <v>0</v>
      </c>
      <c r="S37" s="6">
        <f>5000-5000</f>
        <v>0</v>
      </c>
      <c r="T37" s="6">
        <f>5000-5000</f>
        <v>0</v>
      </c>
      <c r="U37" s="6">
        <f t="shared" si="1"/>
        <v>14170</v>
      </c>
    </row>
    <row r="38" spans="1:21" s="7" customFormat="1" ht="41.25" hidden="1" customHeight="1" outlineLevel="1" x14ac:dyDescent="0.2">
      <c r="A38" s="231"/>
      <c r="B38" s="26"/>
      <c r="C38" s="112" t="s">
        <v>31</v>
      </c>
      <c r="D38" s="15" t="s">
        <v>25</v>
      </c>
      <c r="E38" s="8"/>
      <c r="F38" s="24" t="s">
        <v>11</v>
      </c>
      <c r="G38" s="6">
        <v>0</v>
      </c>
      <c r="H38" s="9">
        <v>60000</v>
      </c>
      <c r="I38" s="9">
        <v>0</v>
      </c>
      <c r="J38" s="9">
        <v>0</v>
      </c>
      <c r="K38" s="9">
        <v>0</v>
      </c>
      <c r="L38" s="9">
        <f>60000-1000-4500</f>
        <v>54500</v>
      </c>
      <c r="M38" s="9">
        <f>66000</f>
        <v>66000</v>
      </c>
      <c r="N38" s="6">
        <f t="shared" si="0"/>
        <v>180500</v>
      </c>
      <c r="O38" s="9">
        <f>72600-72600</f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6">
        <f t="shared" si="1"/>
        <v>180500</v>
      </c>
    </row>
    <row r="39" spans="1:21" s="7" customFormat="1" ht="40.5" hidden="1" outlineLevel="1" x14ac:dyDescent="0.2">
      <c r="A39" s="231"/>
      <c r="B39" s="26"/>
      <c r="C39" s="113" t="s">
        <v>32</v>
      </c>
      <c r="D39" s="95" t="s">
        <v>14</v>
      </c>
      <c r="E39" s="8"/>
      <c r="F39" s="24" t="s">
        <v>11</v>
      </c>
      <c r="G39" s="6">
        <f>30893.1-20000</f>
        <v>10893.099999999999</v>
      </c>
      <c r="H39" s="9">
        <v>0</v>
      </c>
      <c r="I39" s="9">
        <v>33783</v>
      </c>
      <c r="J39" s="9">
        <v>44021.8</v>
      </c>
      <c r="K39" s="9">
        <v>61825.56</v>
      </c>
      <c r="L39" s="9">
        <v>0</v>
      </c>
      <c r="M39" s="9">
        <v>0</v>
      </c>
      <c r="N39" s="6">
        <f t="shared" si="0"/>
        <v>150523.46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6">
        <f t="shared" si="1"/>
        <v>150523.46</v>
      </c>
    </row>
    <row r="40" spans="1:21" s="7" customFormat="1" ht="57" hidden="1" customHeight="1" outlineLevel="1" x14ac:dyDescent="0.2">
      <c r="A40" s="129"/>
      <c r="B40" s="82"/>
      <c r="C40" s="111" t="s">
        <v>33</v>
      </c>
      <c r="D40" s="96" t="s">
        <v>14</v>
      </c>
      <c r="E40" s="75"/>
      <c r="F40" s="24" t="s">
        <v>11</v>
      </c>
      <c r="G40" s="6">
        <v>0</v>
      </c>
      <c r="H40" s="9">
        <v>0</v>
      </c>
      <c r="I40" s="9">
        <v>3000</v>
      </c>
      <c r="J40" s="9">
        <v>2597.8000000000002</v>
      </c>
      <c r="K40" s="9">
        <v>1300</v>
      </c>
      <c r="L40" s="9">
        <v>0</v>
      </c>
      <c r="M40" s="9">
        <v>0</v>
      </c>
      <c r="N40" s="6">
        <f t="shared" si="0"/>
        <v>6897.8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6">
        <f t="shared" si="1"/>
        <v>6897.8</v>
      </c>
    </row>
    <row r="41" spans="1:21" s="7" customFormat="1" ht="38.25" hidden="1" customHeight="1" outlineLevel="1" collapsed="1" x14ac:dyDescent="0.2">
      <c r="A41" s="101"/>
      <c r="B41" s="438"/>
      <c r="C41" s="109" t="s">
        <v>34</v>
      </c>
      <c r="D41" s="141" t="s">
        <v>254</v>
      </c>
      <c r="E41" s="425"/>
      <c r="F41" s="220" t="s">
        <v>11</v>
      </c>
      <c r="G41" s="106">
        <f t="shared" ref="G41:T41" si="2">SUM(G43:G56)</f>
        <v>0</v>
      </c>
      <c r="H41" s="6">
        <f t="shared" si="2"/>
        <v>0</v>
      </c>
      <c r="I41" s="6">
        <f t="shared" si="2"/>
        <v>0</v>
      </c>
      <c r="J41" s="6">
        <f t="shared" si="2"/>
        <v>2300</v>
      </c>
      <c r="K41" s="6">
        <f t="shared" si="2"/>
        <v>0</v>
      </c>
      <c r="L41" s="6">
        <f t="shared" si="2"/>
        <v>15850</v>
      </c>
      <c r="M41" s="6">
        <f t="shared" si="2"/>
        <v>9150</v>
      </c>
      <c r="N41" s="6">
        <f t="shared" si="0"/>
        <v>27300</v>
      </c>
      <c r="O41" s="6">
        <f t="shared" si="2"/>
        <v>19500</v>
      </c>
      <c r="P41" s="6">
        <f t="shared" si="2"/>
        <v>26600</v>
      </c>
      <c r="Q41" s="6">
        <f t="shared" si="2"/>
        <v>0</v>
      </c>
      <c r="R41" s="6">
        <f t="shared" si="2"/>
        <v>0</v>
      </c>
      <c r="S41" s="6">
        <f t="shared" si="2"/>
        <v>0</v>
      </c>
      <c r="T41" s="6">
        <f t="shared" si="2"/>
        <v>0</v>
      </c>
      <c r="U41" s="6">
        <f t="shared" si="1"/>
        <v>73400</v>
      </c>
    </row>
    <row r="42" spans="1:21" s="7" customFormat="1" ht="15.75" hidden="1" customHeight="1" outlineLevel="1" x14ac:dyDescent="0.2">
      <c r="A42" s="8"/>
      <c r="B42" s="439"/>
      <c r="C42" s="109" t="s">
        <v>35</v>
      </c>
      <c r="D42" s="104"/>
      <c r="E42" s="426"/>
      <c r="F42" s="10"/>
      <c r="G42" s="106"/>
      <c r="H42" s="9"/>
      <c r="I42" s="9"/>
      <c r="J42" s="9"/>
      <c r="K42" s="9"/>
      <c r="L42" s="9"/>
      <c r="M42" s="9"/>
      <c r="N42" s="6"/>
      <c r="O42" s="9"/>
      <c r="P42" s="9"/>
      <c r="Q42" s="9"/>
      <c r="R42" s="9"/>
      <c r="S42" s="9"/>
      <c r="T42" s="9"/>
      <c r="U42" s="6"/>
    </row>
    <row r="43" spans="1:21" s="7" customFormat="1" ht="29.25" hidden="1" customHeight="1" outlineLevel="1" x14ac:dyDescent="0.2">
      <c r="A43" s="8"/>
      <c r="B43" s="439"/>
      <c r="C43" s="109" t="s">
        <v>36</v>
      </c>
      <c r="D43" s="104"/>
      <c r="E43" s="426"/>
      <c r="F43" s="10"/>
      <c r="G43" s="105">
        <v>0</v>
      </c>
      <c r="H43" s="16">
        <v>0</v>
      </c>
      <c r="I43" s="16">
        <v>0</v>
      </c>
      <c r="J43" s="16">
        <v>0</v>
      </c>
      <c r="K43" s="16">
        <v>0</v>
      </c>
      <c r="L43" s="17">
        <v>3500</v>
      </c>
      <c r="M43" s="17">
        <f>900-350-350</f>
        <v>200</v>
      </c>
      <c r="N43" s="6">
        <f t="shared" si="0"/>
        <v>3700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6">
        <f t="shared" si="1"/>
        <v>3700</v>
      </c>
    </row>
    <row r="44" spans="1:21" s="7" customFormat="1" ht="19.5" hidden="1" customHeight="1" outlineLevel="1" x14ac:dyDescent="0.2">
      <c r="A44" s="8"/>
      <c r="B44" s="439"/>
      <c r="C44" s="109" t="s">
        <v>37</v>
      </c>
      <c r="D44" s="104"/>
      <c r="E44" s="426"/>
      <c r="F44" s="10"/>
      <c r="G44" s="105">
        <v>0</v>
      </c>
      <c r="H44" s="16">
        <v>0</v>
      </c>
      <c r="I44" s="16">
        <v>0</v>
      </c>
      <c r="J44" s="16">
        <v>2300</v>
      </c>
      <c r="K44" s="16">
        <v>0</v>
      </c>
      <c r="L44" s="17">
        <f>5100-450</f>
        <v>4650</v>
      </c>
      <c r="M44" s="17">
        <v>2800</v>
      </c>
      <c r="N44" s="6">
        <f t="shared" si="0"/>
        <v>9750</v>
      </c>
      <c r="O44" s="17">
        <v>0</v>
      </c>
      <c r="P44" s="17">
        <v>5500</v>
      </c>
      <c r="Q44" s="17">
        <f>5200-5200</f>
        <v>0</v>
      </c>
      <c r="R44" s="17">
        <v>0</v>
      </c>
      <c r="S44" s="17">
        <v>0</v>
      </c>
      <c r="T44" s="17">
        <f>5500-5500</f>
        <v>0</v>
      </c>
      <c r="U44" s="6">
        <f t="shared" si="1"/>
        <v>15250</v>
      </c>
    </row>
    <row r="45" spans="1:21" s="7" customFormat="1" ht="18.75" hidden="1" customHeight="1" outlineLevel="1" x14ac:dyDescent="0.2">
      <c r="A45" s="8"/>
      <c r="B45" s="439"/>
      <c r="C45" s="109" t="s">
        <v>38</v>
      </c>
      <c r="D45" s="104"/>
      <c r="E45" s="426"/>
      <c r="F45" s="10"/>
      <c r="G45" s="105">
        <v>0</v>
      </c>
      <c r="H45" s="16">
        <v>0</v>
      </c>
      <c r="I45" s="16">
        <v>0</v>
      </c>
      <c r="J45" s="16">
        <v>0</v>
      </c>
      <c r="K45" s="16">
        <v>0</v>
      </c>
      <c r="L45" s="17">
        <f>4000+375</f>
        <v>4375</v>
      </c>
      <c r="M45" s="17">
        <v>4300</v>
      </c>
      <c r="N45" s="6">
        <f t="shared" si="0"/>
        <v>8675</v>
      </c>
      <c r="O45" s="17">
        <f>4500+1600</f>
        <v>6100</v>
      </c>
      <c r="P45" s="17">
        <f>7000+500-1260</f>
        <v>6240</v>
      </c>
      <c r="Q45" s="17">
        <f>6500-6500</f>
        <v>0</v>
      </c>
      <c r="R45" s="17">
        <v>0</v>
      </c>
      <c r="S45" s="17">
        <v>0</v>
      </c>
      <c r="T45" s="17">
        <v>0</v>
      </c>
      <c r="U45" s="6">
        <f t="shared" si="1"/>
        <v>21015</v>
      </c>
    </row>
    <row r="46" spans="1:21" s="7" customFormat="1" ht="18" hidden="1" customHeight="1" outlineLevel="1" x14ac:dyDescent="0.2">
      <c r="A46" s="8"/>
      <c r="B46" s="439"/>
      <c r="C46" s="109" t="s">
        <v>39</v>
      </c>
      <c r="D46" s="104"/>
      <c r="E46" s="426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0</v>
      </c>
      <c r="M46" s="17">
        <f>850+350</f>
        <v>1200</v>
      </c>
      <c r="N46" s="6">
        <f t="shared" si="0"/>
        <v>1200</v>
      </c>
      <c r="O46" s="17">
        <f>735-735</f>
        <v>0</v>
      </c>
      <c r="P46" s="17">
        <f>1713.6</f>
        <v>1713.6</v>
      </c>
      <c r="Q46" s="17">
        <f>1200-1200</f>
        <v>0</v>
      </c>
      <c r="R46" s="17">
        <f>1300-1300</f>
        <v>0</v>
      </c>
      <c r="S46" s="17">
        <v>0</v>
      </c>
      <c r="T46" s="17">
        <v>0</v>
      </c>
      <c r="U46" s="6">
        <f t="shared" si="1"/>
        <v>2913.6000000000004</v>
      </c>
    </row>
    <row r="47" spans="1:21" s="7" customFormat="1" ht="18" hidden="1" customHeight="1" outlineLevel="1" x14ac:dyDescent="0.2">
      <c r="A47" s="8"/>
      <c r="B47" s="439"/>
      <c r="C47" s="109" t="s">
        <v>40</v>
      </c>
      <c r="D47" s="104"/>
      <c r="E47" s="426"/>
      <c r="F47" s="10"/>
      <c r="G47" s="105">
        <v>0</v>
      </c>
      <c r="H47" s="16">
        <v>0</v>
      </c>
      <c r="I47" s="16">
        <v>0</v>
      </c>
      <c r="J47" s="16">
        <v>0</v>
      </c>
      <c r="K47" s="16">
        <v>0</v>
      </c>
      <c r="L47" s="17">
        <v>0</v>
      </c>
      <c r="M47" s="17">
        <f>300+350</f>
        <v>650</v>
      </c>
      <c r="N47" s="6">
        <f t="shared" si="0"/>
        <v>650</v>
      </c>
      <c r="O47" s="17">
        <v>0</v>
      </c>
      <c r="P47" s="17">
        <v>0</v>
      </c>
      <c r="Q47" s="17">
        <f>250-250</f>
        <v>0</v>
      </c>
      <c r="R47" s="17">
        <f>300-300</f>
        <v>0</v>
      </c>
      <c r="S47" s="17">
        <v>0</v>
      </c>
      <c r="T47" s="17">
        <v>0</v>
      </c>
      <c r="U47" s="6">
        <f t="shared" si="1"/>
        <v>650</v>
      </c>
    </row>
    <row r="48" spans="1:21" s="7" customFormat="1" ht="17.25" hidden="1" customHeight="1" outlineLevel="1" x14ac:dyDescent="0.2">
      <c r="A48" s="8"/>
      <c r="B48" s="439"/>
      <c r="C48" s="109" t="s">
        <v>41</v>
      </c>
      <c r="D48" s="104"/>
      <c r="E48" s="10"/>
      <c r="F48" s="10"/>
      <c r="G48" s="105">
        <v>0</v>
      </c>
      <c r="H48" s="16">
        <v>0</v>
      </c>
      <c r="I48" s="16">
        <v>0</v>
      </c>
      <c r="J48" s="16">
        <v>0</v>
      </c>
      <c r="K48" s="16">
        <v>0</v>
      </c>
      <c r="L48" s="17">
        <v>2875</v>
      </c>
      <c r="M48" s="17">
        <v>0</v>
      </c>
      <c r="N48" s="6">
        <f t="shared" si="0"/>
        <v>2875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6">
        <f t="shared" si="1"/>
        <v>2875</v>
      </c>
    </row>
    <row r="49" spans="1:21" s="7" customFormat="1" ht="21" hidden="1" customHeight="1" outlineLevel="1" x14ac:dyDescent="0.2">
      <c r="A49" s="8"/>
      <c r="B49" s="11"/>
      <c r="C49" s="109" t="s">
        <v>42</v>
      </c>
      <c r="D49" s="104"/>
      <c r="E49" s="10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450</v>
      </c>
      <c r="M49" s="16">
        <v>0</v>
      </c>
      <c r="N49" s="6">
        <f t="shared" si="0"/>
        <v>450</v>
      </c>
      <c r="O49" s="16">
        <v>0</v>
      </c>
      <c r="P49" s="16">
        <v>0</v>
      </c>
      <c r="Q49" s="16">
        <f>300-300</f>
        <v>0</v>
      </c>
      <c r="R49" s="16">
        <f>300-300</f>
        <v>0</v>
      </c>
      <c r="S49" s="16">
        <f>300-300</f>
        <v>0</v>
      </c>
      <c r="T49" s="16">
        <v>0</v>
      </c>
      <c r="U49" s="6">
        <f t="shared" si="1"/>
        <v>450</v>
      </c>
    </row>
    <row r="50" spans="1:21" s="7" customFormat="1" ht="30" hidden="1" customHeight="1" outlineLevel="1" x14ac:dyDescent="0.2">
      <c r="A50" s="8"/>
      <c r="B50" s="11"/>
      <c r="C50" s="110" t="s">
        <v>263</v>
      </c>
      <c r="D50" s="23"/>
      <c r="E50" s="10"/>
      <c r="F50" s="10"/>
      <c r="G50" s="107">
        <v>0</v>
      </c>
      <c r="H50" s="20">
        <v>0</v>
      </c>
      <c r="I50" s="20">
        <v>0</v>
      </c>
      <c r="J50" s="20">
        <v>0</v>
      </c>
      <c r="K50" s="20">
        <v>0</v>
      </c>
      <c r="L50" s="21">
        <v>0</v>
      </c>
      <c r="M50" s="20">
        <v>0</v>
      </c>
      <c r="N50" s="6">
        <f t="shared" si="0"/>
        <v>0</v>
      </c>
      <c r="O50" s="20">
        <v>6000</v>
      </c>
      <c r="P50" s="20">
        <f>7500-453.6</f>
        <v>7046.4</v>
      </c>
      <c r="Q50" s="20">
        <v>0</v>
      </c>
      <c r="R50" s="20">
        <v>0</v>
      </c>
      <c r="S50" s="20">
        <v>0</v>
      </c>
      <c r="T50" s="20">
        <v>0</v>
      </c>
      <c r="U50" s="6">
        <f t="shared" si="1"/>
        <v>13046.4</v>
      </c>
    </row>
    <row r="51" spans="1:21" s="7" customFormat="1" ht="28.5" hidden="1" customHeight="1" outlineLevel="1" x14ac:dyDescent="0.2">
      <c r="A51" s="8"/>
      <c r="B51" s="11"/>
      <c r="C51" s="109" t="s">
        <v>43</v>
      </c>
      <c r="D51" s="23"/>
      <c r="E51" s="10"/>
      <c r="F51" s="10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6">
        <f t="shared" si="0"/>
        <v>0</v>
      </c>
      <c r="O51" s="16">
        <v>5200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6">
        <f t="shared" si="1"/>
        <v>5200</v>
      </c>
    </row>
    <row r="52" spans="1:21" s="7" customFormat="1" ht="23.25" hidden="1" customHeight="1" outlineLevel="1" x14ac:dyDescent="0.2">
      <c r="A52" s="8"/>
      <c r="B52" s="11"/>
      <c r="C52" s="109" t="s">
        <v>44</v>
      </c>
      <c r="D52" s="23"/>
      <c r="E52" s="10"/>
      <c r="F52" s="10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7">
        <v>0</v>
      </c>
      <c r="M52" s="16">
        <v>0</v>
      </c>
      <c r="N52" s="6">
        <f t="shared" si="0"/>
        <v>0</v>
      </c>
      <c r="O52" s="16">
        <v>2200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6">
        <f t="shared" si="1"/>
        <v>2200</v>
      </c>
    </row>
    <row r="53" spans="1:21" s="7" customFormat="1" ht="21.75" hidden="1" customHeight="1" outlineLevel="1" x14ac:dyDescent="0.2">
      <c r="A53" s="8"/>
      <c r="B53" s="11"/>
      <c r="C53" s="110" t="s">
        <v>45</v>
      </c>
      <c r="D53" s="23"/>
      <c r="E53" s="10"/>
      <c r="F53" s="19"/>
      <c r="G53" s="105">
        <v>0</v>
      </c>
      <c r="H53" s="16">
        <v>0</v>
      </c>
      <c r="I53" s="16">
        <v>0</v>
      </c>
      <c r="J53" s="16">
        <v>0</v>
      </c>
      <c r="K53" s="16">
        <v>0</v>
      </c>
      <c r="L53" s="17">
        <v>0</v>
      </c>
      <c r="M53" s="16">
        <v>0</v>
      </c>
      <c r="N53" s="6">
        <f t="shared" si="0"/>
        <v>0</v>
      </c>
      <c r="O53" s="16">
        <v>0</v>
      </c>
      <c r="P53" s="16">
        <v>0</v>
      </c>
      <c r="Q53" s="16">
        <f>1000-1000</f>
        <v>0</v>
      </c>
      <c r="R53" s="16">
        <v>0</v>
      </c>
      <c r="S53" s="16">
        <v>0</v>
      </c>
      <c r="T53" s="16">
        <v>0</v>
      </c>
      <c r="U53" s="6">
        <f t="shared" si="1"/>
        <v>0</v>
      </c>
    </row>
    <row r="54" spans="1:21" s="7" customFormat="1" ht="21.75" hidden="1" customHeight="1" outlineLevel="1" x14ac:dyDescent="0.2">
      <c r="A54" s="8"/>
      <c r="B54" s="11"/>
      <c r="C54" s="110" t="s">
        <v>46</v>
      </c>
      <c r="D54" s="23"/>
      <c r="E54" s="10"/>
      <c r="F54" s="19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6">
        <f t="shared" si="0"/>
        <v>0</v>
      </c>
      <c r="O54" s="16">
        <v>0</v>
      </c>
      <c r="P54" s="16">
        <v>0</v>
      </c>
      <c r="Q54" s="16">
        <v>0</v>
      </c>
      <c r="R54" s="16">
        <f>7000-7000</f>
        <v>0</v>
      </c>
      <c r="S54" s="16">
        <v>0</v>
      </c>
      <c r="T54" s="16">
        <v>0</v>
      </c>
      <c r="U54" s="6">
        <f t="shared" si="1"/>
        <v>0</v>
      </c>
    </row>
    <row r="55" spans="1:21" s="7" customFormat="1" ht="21.75" hidden="1" customHeight="1" outlineLevel="1" x14ac:dyDescent="0.2">
      <c r="A55" s="8"/>
      <c r="B55" s="11"/>
      <c r="C55" s="110" t="s">
        <v>47</v>
      </c>
      <c r="D55" s="23"/>
      <c r="E55" s="10"/>
      <c r="F55" s="19"/>
      <c r="G55" s="105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6">
        <f t="shared" si="0"/>
        <v>0</v>
      </c>
      <c r="O55" s="16">
        <v>0</v>
      </c>
      <c r="P55" s="16">
        <v>0</v>
      </c>
      <c r="Q55" s="16">
        <f>4800-4800</f>
        <v>0</v>
      </c>
      <c r="R55" s="16">
        <v>0</v>
      </c>
      <c r="S55" s="16">
        <f>5000-5000</f>
        <v>0</v>
      </c>
      <c r="T55" s="16">
        <v>0</v>
      </c>
      <c r="U55" s="6">
        <f t="shared" si="1"/>
        <v>0</v>
      </c>
    </row>
    <row r="56" spans="1:21" s="7" customFormat="1" ht="24.75" hidden="1" customHeight="1" outlineLevel="1" x14ac:dyDescent="0.2">
      <c r="A56" s="8"/>
      <c r="B56" s="11"/>
      <c r="C56" s="110" t="s">
        <v>48</v>
      </c>
      <c r="D56" s="136"/>
      <c r="E56" s="10"/>
      <c r="F56" s="108"/>
      <c r="G56" s="105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6">
        <f t="shared" si="0"/>
        <v>0</v>
      </c>
      <c r="O56" s="16">
        <v>0</v>
      </c>
      <c r="P56" s="16">
        <v>6100</v>
      </c>
      <c r="Q56" s="16">
        <v>0</v>
      </c>
      <c r="R56" s="16">
        <v>0</v>
      </c>
      <c r="S56" s="16">
        <v>0</v>
      </c>
      <c r="T56" s="16">
        <v>0</v>
      </c>
      <c r="U56" s="6">
        <f t="shared" si="1"/>
        <v>6100</v>
      </c>
    </row>
    <row r="57" spans="1:21" s="7" customFormat="1" ht="48.75" hidden="1" customHeight="1" outlineLevel="1" x14ac:dyDescent="0.2">
      <c r="A57" s="8"/>
      <c r="B57" s="11"/>
      <c r="C57" s="138" t="s">
        <v>49</v>
      </c>
      <c r="D57" s="142" t="s">
        <v>50</v>
      </c>
      <c r="E57" s="10"/>
      <c r="F57" s="24" t="s">
        <v>11</v>
      </c>
      <c r="G57" s="6">
        <v>0</v>
      </c>
      <c r="H57" s="6">
        <v>0</v>
      </c>
      <c r="I57" s="6">
        <v>0</v>
      </c>
      <c r="J57" s="6">
        <v>2000</v>
      </c>
      <c r="K57" s="6">
        <v>1760.9</v>
      </c>
      <c r="L57" s="6">
        <f>2000+2100</f>
        <v>4100</v>
      </c>
      <c r="M57" s="6">
        <f>2500+3000+2149.3</f>
        <v>7649.3</v>
      </c>
      <c r="N57" s="6">
        <f t="shared" si="0"/>
        <v>15510.2</v>
      </c>
      <c r="O57" s="6">
        <f>3000+10000+2000+13790</f>
        <v>28790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f t="shared" si="1"/>
        <v>44300.2</v>
      </c>
    </row>
    <row r="58" spans="1:21" s="7" customFormat="1" ht="53.25" hidden="1" customHeight="1" outlineLevel="1" x14ac:dyDescent="0.2">
      <c r="A58" s="8"/>
      <c r="B58" s="11"/>
      <c r="C58" s="139" t="s">
        <v>51</v>
      </c>
      <c r="D58" s="136" t="s">
        <v>50</v>
      </c>
      <c r="E58" s="10"/>
      <c r="F58" s="24" t="s">
        <v>11</v>
      </c>
      <c r="G58" s="6">
        <v>0</v>
      </c>
      <c r="H58" s="6">
        <v>0</v>
      </c>
      <c r="I58" s="6">
        <v>0</v>
      </c>
      <c r="J58" s="6">
        <v>7900</v>
      </c>
      <c r="K58" s="6">
        <v>6611.6</v>
      </c>
      <c r="L58" s="6">
        <v>10000</v>
      </c>
      <c r="M58" s="6">
        <f>14000-2149.3</f>
        <v>11850.7</v>
      </c>
      <c r="N58" s="6">
        <f t="shared" si="0"/>
        <v>36362.300000000003</v>
      </c>
      <c r="O58" s="6">
        <f>20000-10000</f>
        <v>10000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f t="shared" si="1"/>
        <v>46362.3</v>
      </c>
    </row>
    <row r="59" spans="1:21" s="7" customFormat="1" ht="40.5" hidden="1" customHeight="1" outlineLevel="1" x14ac:dyDescent="0.2">
      <c r="A59" s="8"/>
      <c r="B59" s="11"/>
      <c r="C59" s="138" t="s">
        <v>52</v>
      </c>
      <c r="D59" s="137" t="s">
        <v>50</v>
      </c>
      <c r="E59" s="10"/>
      <c r="F59" s="24" t="s">
        <v>11</v>
      </c>
      <c r="G59" s="6">
        <v>0</v>
      </c>
      <c r="H59" s="6">
        <v>0</v>
      </c>
      <c r="I59" s="6">
        <v>0</v>
      </c>
      <c r="J59" s="6">
        <v>1600</v>
      </c>
      <c r="K59" s="6">
        <v>5500</v>
      </c>
      <c r="L59" s="6">
        <f>7600-3900</f>
        <v>3700</v>
      </c>
      <c r="M59" s="6">
        <f>8360-8360</f>
        <v>0</v>
      </c>
      <c r="N59" s="6">
        <f t="shared" si="0"/>
        <v>10800</v>
      </c>
      <c r="O59" s="6">
        <f>9200-9200</f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f t="shared" si="1"/>
        <v>10800</v>
      </c>
    </row>
    <row r="60" spans="1:21" s="7" customFormat="1" ht="57.75" hidden="1" customHeight="1" outlineLevel="1" collapsed="1" x14ac:dyDescent="0.2">
      <c r="A60" s="8"/>
      <c r="B60" s="11"/>
      <c r="C60" s="140" t="s">
        <v>53</v>
      </c>
      <c r="D60" s="98" t="s">
        <v>50</v>
      </c>
      <c r="E60" s="10"/>
      <c r="F60" s="24" t="s">
        <v>11</v>
      </c>
      <c r="G60" s="6">
        <v>0</v>
      </c>
      <c r="H60" s="9">
        <v>0</v>
      </c>
      <c r="I60" s="9">
        <v>0</v>
      </c>
      <c r="J60" s="9">
        <v>6000</v>
      </c>
      <c r="K60" s="9">
        <v>13000</v>
      </c>
      <c r="L60" s="9">
        <v>1260</v>
      </c>
      <c r="M60" s="9">
        <v>1385</v>
      </c>
      <c r="N60" s="6">
        <f t="shared" si="0"/>
        <v>21645</v>
      </c>
      <c r="O60" s="9">
        <v>1525</v>
      </c>
      <c r="P60" s="9">
        <v>0</v>
      </c>
      <c r="Q60" s="9">
        <f>1300-1300</f>
        <v>0</v>
      </c>
      <c r="R60" s="9">
        <f>1500-1500</f>
        <v>0</v>
      </c>
      <c r="S60" s="9">
        <f>2000-2000</f>
        <v>0</v>
      </c>
      <c r="T60" s="9">
        <f>2500-2500</f>
        <v>0</v>
      </c>
      <c r="U60" s="6">
        <f t="shared" si="1"/>
        <v>23170</v>
      </c>
    </row>
    <row r="61" spans="1:21" s="7" customFormat="1" ht="54.75" hidden="1" customHeight="1" outlineLevel="1" x14ac:dyDescent="0.2">
      <c r="A61" s="423"/>
      <c r="B61" s="11"/>
      <c r="C61" s="140" t="s">
        <v>54</v>
      </c>
      <c r="D61" s="98" t="s">
        <v>50</v>
      </c>
      <c r="E61" s="10"/>
      <c r="F61" s="24" t="s">
        <v>11</v>
      </c>
      <c r="G61" s="6">
        <v>0</v>
      </c>
      <c r="H61" s="9">
        <v>0</v>
      </c>
      <c r="I61" s="9">
        <v>0</v>
      </c>
      <c r="J61" s="9">
        <v>2500</v>
      </c>
      <c r="K61" s="9">
        <v>7500</v>
      </c>
      <c r="L61" s="9">
        <v>1835.7</v>
      </c>
      <c r="M61" s="9">
        <f>8500</f>
        <v>8500</v>
      </c>
      <c r="N61" s="6">
        <f t="shared" si="0"/>
        <v>20335.7</v>
      </c>
      <c r="O61" s="9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20335.7</v>
      </c>
    </row>
    <row r="62" spans="1:21" s="7" customFormat="1" ht="71.25" hidden="1" customHeight="1" outlineLevel="1" collapsed="1" x14ac:dyDescent="0.2">
      <c r="A62" s="424"/>
      <c r="B62" s="11"/>
      <c r="C62" s="140" t="s">
        <v>268</v>
      </c>
      <c r="D62" s="98" t="s">
        <v>259</v>
      </c>
      <c r="E62" s="10"/>
      <c r="F62" s="24" t="s">
        <v>11</v>
      </c>
      <c r="G62" s="6">
        <v>0</v>
      </c>
      <c r="H62" s="9">
        <v>0</v>
      </c>
      <c r="I62" s="9">
        <v>0</v>
      </c>
      <c r="J62" s="9">
        <v>0</v>
      </c>
      <c r="K62" s="9">
        <v>1000</v>
      </c>
      <c r="L62" s="9">
        <v>10000</v>
      </c>
      <c r="M62" s="9">
        <f>10000-8500</f>
        <v>1500</v>
      </c>
      <c r="N62" s="6">
        <f t="shared" si="0"/>
        <v>12500</v>
      </c>
      <c r="O62" s="9">
        <v>0</v>
      </c>
      <c r="P62" s="9">
        <v>0</v>
      </c>
      <c r="Q62" s="9">
        <f>1000-1000</f>
        <v>0</v>
      </c>
      <c r="R62" s="9">
        <v>0</v>
      </c>
      <c r="S62" s="9">
        <v>0</v>
      </c>
      <c r="T62" s="9">
        <v>0</v>
      </c>
      <c r="U62" s="6">
        <f t="shared" si="1"/>
        <v>12500</v>
      </c>
    </row>
    <row r="63" spans="1:21" s="7" customFormat="1" ht="46.5" hidden="1" customHeight="1" outlineLevel="1" x14ac:dyDescent="0.2">
      <c r="A63" s="8"/>
      <c r="B63" s="11"/>
      <c r="C63" s="140" t="s">
        <v>55</v>
      </c>
      <c r="D63" s="98" t="s">
        <v>56</v>
      </c>
      <c r="E63" s="10"/>
      <c r="F63" s="24" t="s">
        <v>11</v>
      </c>
      <c r="G63" s="6">
        <v>0</v>
      </c>
      <c r="H63" s="9">
        <v>0</v>
      </c>
      <c r="I63" s="9">
        <v>0</v>
      </c>
      <c r="J63" s="9">
        <v>0</v>
      </c>
      <c r="K63" s="9">
        <v>7950</v>
      </c>
      <c r="L63" s="9">
        <v>0</v>
      </c>
      <c r="M63" s="9">
        <v>0</v>
      </c>
      <c r="N63" s="6">
        <f t="shared" si="0"/>
        <v>7950</v>
      </c>
      <c r="O63" s="9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f t="shared" si="1"/>
        <v>7950</v>
      </c>
    </row>
    <row r="64" spans="1:21" s="7" customFormat="1" ht="42.75" hidden="1" customHeight="1" outlineLevel="1" x14ac:dyDescent="0.2">
      <c r="A64" s="8"/>
      <c r="B64" s="11"/>
      <c r="C64" s="140" t="s">
        <v>57</v>
      </c>
      <c r="D64" s="98" t="s">
        <v>50</v>
      </c>
      <c r="E64" s="10"/>
      <c r="F64" s="24" t="s">
        <v>11</v>
      </c>
      <c r="G64" s="6">
        <v>0</v>
      </c>
      <c r="H64" s="9">
        <v>0</v>
      </c>
      <c r="I64" s="9">
        <v>0</v>
      </c>
      <c r="J64" s="9">
        <v>0</v>
      </c>
      <c r="K64" s="9">
        <v>1000</v>
      </c>
      <c r="L64" s="9">
        <v>10000</v>
      </c>
      <c r="M64" s="9">
        <f>4000-2250</f>
        <v>1750</v>
      </c>
      <c r="N64" s="6">
        <f t="shared" si="0"/>
        <v>12750</v>
      </c>
      <c r="O64" s="9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f t="shared" si="1"/>
        <v>12750</v>
      </c>
    </row>
    <row r="65" spans="1:21" s="7" customFormat="1" ht="47.25" hidden="1" customHeight="1" outlineLevel="1" x14ac:dyDescent="0.2">
      <c r="A65" s="8"/>
      <c r="B65" s="11"/>
      <c r="C65" s="139" t="s">
        <v>58</v>
      </c>
      <c r="D65" s="99" t="s">
        <v>59</v>
      </c>
      <c r="E65" s="233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0</v>
      </c>
      <c r="L65" s="9">
        <v>2000</v>
      </c>
      <c r="M65" s="9">
        <v>7000</v>
      </c>
      <c r="N65" s="6">
        <f t="shared" si="0"/>
        <v>9000</v>
      </c>
      <c r="O65" s="9">
        <v>10000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f t="shared" si="1"/>
        <v>19000</v>
      </c>
    </row>
    <row r="66" spans="1:21" s="7" customFormat="1" ht="52.5" hidden="1" customHeight="1" outlineLevel="1" collapsed="1" x14ac:dyDescent="0.2">
      <c r="A66" s="8"/>
      <c r="B66" s="11"/>
      <c r="C66" s="110" t="s">
        <v>60</v>
      </c>
      <c r="D66" s="136" t="s">
        <v>260</v>
      </c>
      <c r="E66" s="233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0</v>
      </c>
      <c r="L66" s="9">
        <v>2000</v>
      </c>
      <c r="M66" s="9">
        <v>2000</v>
      </c>
      <c r="N66" s="6">
        <f t="shared" si="0"/>
        <v>4000</v>
      </c>
      <c r="O66" s="9">
        <v>0</v>
      </c>
      <c r="P66" s="9">
        <v>0</v>
      </c>
      <c r="Q66" s="9">
        <v>0</v>
      </c>
      <c r="R66" s="9">
        <f>5000-5000</f>
        <v>0</v>
      </c>
      <c r="S66" s="9">
        <v>0</v>
      </c>
      <c r="T66" s="9">
        <v>0</v>
      </c>
      <c r="U66" s="6">
        <f t="shared" si="1"/>
        <v>4000</v>
      </c>
    </row>
    <row r="67" spans="1:21" s="7" customFormat="1" ht="71.25" hidden="1" customHeight="1" outlineLevel="1" x14ac:dyDescent="0.2">
      <c r="A67" s="8"/>
      <c r="B67" s="11"/>
      <c r="C67" s="14" t="s">
        <v>62</v>
      </c>
      <c r="D67" s="142" t="s">
        <v>260</v>
      </c>
      <c r="E67" s="233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0</v>
      </c>
      <c r="L67" s="9">
        <v>2000</v>
      </c>
      <c r="M67" s="9">
        <v>2000</v>
      </c>
      <c r="N67" s="6">
        <f t="shared" si="0"/>
        <v>4000</v>
      </c>
      <c r="O67" s="9">
        <v>0</v>
      </c>
      <c r="P67" s="9">
        <v>0</v>
      </c>
      <c r="Q67" s="9">
        <f>4200-4200</f>
        <v>0</v>
      </c>
      <c r="R67" s="9">
        <v>0</v>
      </c>
      <c r="S67" s="9">
        <v>0</v>
      </c>
      <c r="T67" s="9">
        <v>0</v>
      </c>
      <c r="U67" s="6">
        <f t="shared" si="1"/>
        <v>4000</v>
      </c>
    </row>
    <row r="68" spans="1:21" s="7" customFormat="1" ht="44.25" hidden="1" customHeight="1" outlineLevel="1" x14ac:dyDescent="0.2">
      <c r="A68" s="8"/>
      <c r="B68" s="11"/>
      <c r="C68" s="138" t="s">
        <v>63</v>
      </c>
      <c r="D68" s="137" t="s">
        <v>255</v>
      </c>
      <c r="E68" s="233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f>500+1000</f>
        <v>1500</v>
      </c>
      <c r="M68" s="9">
        <v>1000</v>
      </c>
      <c r="N68" s="6">
        <f t="shared" si="0"/>
        <v>2500</v>
      </c>
      <c r="O68" s="9">
        <v>1500</v>
      </c>
      <c r="P68" s="9">
        <v>2000</v>
      </c>
      <c r="Q68" s="9">
        <f>3000-3000</f>
        <v>0</v>
      </c>
      <c r="R68" s="9">
        <f>8000-8000</f>
        <v>0</v>
      </c>
      <c r="S68" s="9">
        <f>10000-10000</f>
        <v>0</v>
      </c>
      <c r="T68" s="9">
        <f>10000-10000</f>
        <v>0</v>
      </c>
      <c r="U68" s="6">
        <f t="shared" si="1"/>
        <v>6000</v>
      </c>
    </row>
    <row r="69" spans="1:21" s="7" customFormat="1" ht="45.75" hidden="1" customHeight="1" outlineLevel="1" x14ac:dyDescent="0.2">
      <c r="A69" s="8"/>
      <c r="B69" s="421"/>
      <c r="C69" s="140" t="s">
        <v>64</v>
      </c>
      <c r="D69" s="98" t="s">
        <v>260</v>
      </c>
      <c r="E69" s="233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v>1000</v>
      </c>
      <c r="M69" s="9">
        <v>3000</v>
      </c>
      <c r="N69" s="6">
        <f t="shared" si="0"/>
        <v>4000</v>
      </c>
      <c r="O69" s="9">
        <f>3000-3000</f>
        <v>0</v>
      </c>
      <c r="P69" s="9">
        <v>0</v>
      </c>
      <c r="Q69" s="9">
        <f>1500-1500</f>
        <v>0</v>
      </c>
      <c r="R69" s="9">
        <f>2000-2000</f>
        <v>0</v>
      </c>
      <c r="S69" s="9">
        <v>0</v>
      </c>
      <c r="T69" s="9">
        <v>0</v>
      </c>
      <c r="U69" s="6">
        <f t="shared" si="1"/>
        <v>4000</v>
      </c>
    </row>
    <row r="70" spans="1:21" s="7" customFormat="1" ht="46.5" hidden="1" customHeight="1" outlineLevel="1" x14ac:dyDescent="0.2">
      <c r="A70" s="423"/>
      <c r="B70" s="422"/>
      <c r="C70" s="140" t="s">
        <v>264</v>
      </c>
      <c r="D70" s="98" t="s">
        <v>260</v>
      </c>
      <c r="E70" s="233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6500</v>
      </c>
      <c r="N70" s="6">
        <f t="shared" si="0"/>
        <v>6500</v>
      </c>
      <c r="O70" s="9">
        <v>0</v>
      </c>
      <c r="P70" s="9">
        <v>0</v>
      </c>
      <c r="Q70" s="9">
        <v>0</v>
      </c>
      <c r="R70" s="9">
        <f>5500-5500</f>
        <v>0</v>
      </c>
      <c r="S70" s="9">
        <v>0</v>
      </c>
      <c r="T70" s="9">
        <v>0</v>
      </c>
      <c r="U70" s="6">
        <f t="shared" si="1"/>
        <v>6500</v>
      </c>
    </row>
    <row r="71" spans="1:21" s="7" customFormat="1" ht="45" hidden="1" customHeight="1" outlineLevel="1" x14ac:dyDescent="0.2">
      <c r="A71" s="424"/>
      <c r="B71" s="422"/>
      <c r="C71" s="140" t="s">
        <v>65</v>
      </c>
      <c r="D71" s="98" t="s">
        <v>260</v>
      </c>
      <c r="E71" s="233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10000-2100</f>
        <v>7900</v>
      </c>
      <c r="M71" s="9">
        <v>0</v>
      </c>
      <c r="N71" s="6">
        <f t="shared" si="0"/>
        <v>7900</v>
      </c>
      <c r="O71" s="9">
        <v>0</v>
      </c>
      <c r="P71" s="9">
        <v>0</v>
      </c>
      <c r="Q71" s="9">
        <f>300-300</f>
        <v>0</v>
      </c>
      <c r="R71" s="9">
        <f>300-300</f>
        <v>0</v>
      </c>
      <c r="S71" s="9">
        <v>0</v>
      </c>
      <c r="T71" s="9">
        <v>0</v>
      </c>
      <c r="U71" s="6">
        <f t="shared" si="1"/>
        <v>7900</v>
      </c>
    </row>
    <row r="72" spans="1:21" s="7" customFormat="1" ht="44.25" hidden="1" customHeight="1" outlineLevel="1" x14ac:dyDescent="0.2">
      <c r="A72" s="75"/>
      <c r="B72" s="13"/>
      <c r="C72" s="139" t="s">
        <v>213</v>
      </c>
      <c r="D72" s="99" t="s">
        <v>61</v>
      </c>
      <c r="E72" s="127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51559</v>
      </c>
      <c r="M72" s="9">
        <v>50074</v>
      </c>
      <c r="N72" s="6">
        <f t="shared" si="0"/>
        <v>101633</v>
      </c>
      <c r="O72" s="9">
        <v>51535</v>
      </c>
      <c r="P72" s="9">
        <v>63296.71587</v>
      </c>
      <c r="Q72" s="9">
        <f>69180.47911+3210.84737</f>
        <v>72391.326480000003</v>
      </c>
      <c r="R72" s="9">
        <f>62949.17669+9104.43512</f>
        <v>72053.611810000002</v>
      </c>
      <c r="S72" s="9">
        <f>59681.44191+8050.71317</f>
        <v>67732.155079999997</v>
      </c>
      <c r="T72" s="9">
        <v>56045.670409999999</v>
      </c>
      <c r="U72" s="6">
        <f t="shared" si="1"/>
        <v>484687.47965000011</v>
      </c>
    </row>
    <row r="73" spans="1:21" s="7" customFormat="1" ht="57" hidden="1" customHeight="1" outlineLevel="1" x14ac:dyDescent="0.2">
      <c r="A73" s="196"/>
      <c r="B73" s="221"/>
      <c r="C73" s="14" t="s">
        <v>66</v>
      </c>
      <c r="D73" s="135" t="s">
        <v>61</v>
      </c>
      <c r="E73" s="203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f>307183.1-2334.6</f>
        <v>304848.5</v>
      </c>
      <c r="M73" s="6">
        <f>361442.2-1000</f>
        <v>360442.2</v>
      </c>
      <c r="N73" s="6">
        <f t="shared" si="0"/>
        <v>665290.69999999995</v>
      </c>
      <c r="O73" s="6">
        <v>449833.8</v>
      </c>
      <c r="P73" s="6">
        <v>550038.13575999998</v>
      </c>
      <c r="Q73" s="6">
        <f>575145.27782-103285.28</f>
        <v>471859.99781999993</v>
      </c>
      <c r="R73" s="6">
        <f>618980.48228-102360.48</f>
        <v>516620.00228000002</v>
      </c>
      <c r="S73" s="6">
        <f>666502.23373-135402.23</f>
        <v>531100.00373</v>
      </c>
      <c r="T73" s="6">
        <f>720843.0943-136633.09</f>
        <v>584210.00430000003</v>
      </c>
      <c r="U73" s="6">
        <f t="shared" si="1"/>
        <v>3768952.6438899999</v>
      </c>
    </row>
    <row r="74" spans="1:21" s="7" customFormat="1" ht="159.75" hidden="1" customHeight="1" outlineLevel="1" x14ac:dyDescent="0.2">
      <c r="A74" s="75">
        <v>1</v>
      </c>
      <c r="B74" s="217" t="s">
        <v>8</v>
      </c>
      <c r="C74" s="228" t="s">
        <v>67</v>
      </c>
      <c r="D74" s="229" t="s">
        <v>283</v>
      </c>
      <c r="E74" s="92" t="s">
        <v>271</v>
      </c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27">
        <v>2250</v>
      </c>
      <c r="N74" s="6">
        <f t="shared" si="0"/>
        <v>2250</v>
      </c>
      <c r="O74" s="27">
        <v>0</v>
      </c>
      <c r="P74" s="27">
        <v>3700</v>
      </c>
      <c r="Q74" s="27">
        <f>1500-1500+2980.44</f>
        <v>2980.44</v>
      </c>
      <c r="R74" s="27">
        <v>0</v>
      </c>
      <c r="S74" s="27">
        <v>0</v>
      </c>
      <c r="T74" s="27">
        <v>0</v>
      </c>
      <c r="U74" s="6">
        <f t="shared" si="1"/>
        <v>8930.44</v>
      </c>
    </row>
    <row r="75" spans="1:21" s="7" customFormat="1" ht="45.75" hidden="1" customHeight="1" outlineLevel="1" x14ac:dyDescent="0.2">
      <c r="A75" s="8"/>
      <c r="B75" s="11"/>
      <c r="C75" s="112" t="s">
        <v>68</v>
      </c>
      <c r="D75" s="93" t="s">
        <v>69</v>
      </c>
      <c r="E75" s="232"/>
      <c r="F75" s="108" t="s">
        <v>11</v>
      </c>
      <c r="G75" s="22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2">
        <f>72927.1+5360+16000</f>
        <v>94287.1</v>
      </c>
      <c r="N75" s="22">
        <f t="shared" si="0"/>
        <v>94287.1</v>
      </c>
      <c r="O75" s="22">
        <f>87444.4+18000+9200+4235-2850.5+3000</f>
        <v>119028.9</v>
      </c>
      <c r="P75" s="22">
        <v>241085.13451</v>
      </c>
      <c r="Q75" s="22">
        <f>305345.93681-169945.94</f>
        <v>135399.99680999998</v>
      </c>
      <c r="R75" s="22">
        <f>394183.52027-241853.52</f>
        <v>152330.00026999999</v>
      </c>
      <c r="S75" s="22">
        <f>496402.59255-339402.59</f>
        <v>157000.00254999998</v>
      </c>
      <c r="T75" s="22">
        <f>612403.79011-439703.79</f>
        <v>172700.00010999996</v>
      </c>
      <c r="U75" s="22">
        <f t="shared" si="1"/>
        <v>1071831.1342499999</v>
      </c>
    </row>
    <row r="76" spans="1:21" s="7" customFormat="1" ht="44.25" hidden="1" customHeight="1" outlineLevel="1" x14ac:dyDescent="0.2">
      <c r="A76" s="8"/>
      <c r="B76" s="11"/>
      <c r="C76" s="113" t="s">
        <v>70</v>
      </c>
      <c r="D76" s="95" t="s">
        <v>69</v>
      </c>
      <c r="E76" s="232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6">
        <v>1000</v>
      </c>
      <c r="N76" s="6">
        <f t="shared" si="0"/>
        <v>1000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f t="shared" si="1"/>
        <v>1000</v>
      </c>
    </row>
    <row r="77" spans="1:21" s="7" customFormat="1" ht="40.5" hidden="1" customHeight="1" outlineLevel="1" x14ac:dyDescent="0.2">
      <c r="A77" s="8"/>
      <c r="B77" s="11"/>
      <c r="C77" s="111" t="s">
        <v>265</v>
      </c>
      <c r="D77" s="96" t="s">
        <v>71</v>
      </c>
      <c r="E77" s="232"/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6">
        <v>0</v>
      </c>
      <c r="N77" s="6">
        <f t="shared" si="0"/>
        <v>0</v>
      </c>
      <c r="O77" s="6">
        <f>150000-25055</f>
        <v>124945</v>
      </c>
      <c r="P77" s="6">
        <v>140000</v>
      </c>
      <c r="Q77" s="6">
        <f>150000-100000</f>
        <v>50000</v>
      </c>
      <c r="R77" s="6">
        <f>170000-100000</f>
        <v>70000</v>
      </c>
      <c r="S77" s="6">
        <f>185000-100000</f>
        <v>85000</v>
      </c>
      <c r="T77" s="6">
        <f>200000-100000</f>
        <v>100000</v>
      </c>
      <c r="U77" s="6">
        <f t="shared" si="1"/>
        <v>569945</v>
      </c>
    </row>
    <row r="78" spans="1:21" s="7" customFormat="1" ht="44.25" hidden="1" customHeight="1" outlineLevel="1" x14ac:dyDescent="0.2">
      <c r="A78" s="8"/>
      <c r="B78" s="11"/>
      <c r="C78" s="28" t="s">
        <v>72</v>
      </c>
      <c r="D78" s="29" t="s">
        <v>73</v>
      </c>
      <c r="E78" s="125"/>
      <c r="F78" s="24" t="s">
        <v>11</v>
      </c>
      <c r="G78" s="6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6">
        <v>0</v>
      </c>
      <c r="N78" s="6">
        <f t="shared" si="0"/>
        <v>0</v>
      </c>
      <c r="O78" s="6">
        <v>0</v>
      </c>
      <c r="P78" s="6">
        <v>0</v>
      </c>
      <c r="Q78" s="6">
        <f>132000-77000</f>
        <v>55000</v>
      </c>
      <c r="R78" s="6">
        <f>140000-80000</f>
        <v>60000</v>
      </c>
      <c r="S78" s="6">
        <f>110000-10000</f>
        <v>100000</v>
      </c>
      <c r="T78" s="6">
        <f>125000-5000</f>
        <v>120000</v>
      </c>
      <c r="U78" s="6">
        <f t="shared" si="1"/>
        <v>335000</v>
      </c>
    </row>
    <row r="79" spans="1:21" s="7" customFormat="1" ht="38.25" hidden="1" customHeight="1" outlineLevel="1" x14ac:dyDescent="0.2">
      <c r="A79" s="8"/>
      <c r="B79" s="11"/>
      <c r="C79" s="114" t="s">
        <v>74</v>
      </c>
      <c r="D79" s="15">
        <v>2024</v>
      </c>
      <c r="E79" s="125"/>
      <c r="F79" s="24" t="s">
        <v>11</v>
      </c>
      <c r="G79" s="6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6">
        <v>0</v>
      </c>
      <c r="N79" s="6">
        <f t="shared" ref="N79:N143" si="3">G79+H79+I79+J79+K79+L79+M79</f>
        <v>0</v>
      </c>
      <c r="O79" s="6">
        <v>0</v>
      </c>
      <c r="P79" s="6">
        <v>2000</v>
      </c>
      <c r="Q79" s="6">
        <f>3000-3000</f>
        <v>0</v>
      </c>
      <c r="R79" s="6">
        <v>0</v>
      </c>
      <c r="S79" s="6">
        <v>0</v>
      </c>
      <c r="T79" s="6">
        <v>0</v>
      </c>
      <c r="U79" s="6">
        <f t="shared" ref="U79:U81" si="4">SUM(G79:T79)-N79</f>
        <v>2000</v>
      </c>
    </row>
    <row r="80" spans="1:21" s="7" customFormat="1" ht="46.5" hidden="1" customHeight="1" outlineLevel="1" x14ac:dyDescent="0.2">
      <c r="A80" s="8"/>
      <c r="B80" s="11"/>
      <c r="C80" s="114" t="s">
        <v>269</v>
      </c>
      <c r="D80" s="147">
        <v>2024</v>
      </c>
      <c r="E80" s="125"/>
      <c r="F80" s="24" t="s">
        <v>11</v>
      </c>
      <c r="G80" s="6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6">
        <v>0</v>
      </c>
      <c r="N80" s="6">
        <f t="shared" si="3"/>
        <v>0</v>
      </c>
      <c r="O80" s="6">
        <v>0</v>
      </c>
      <c r="P80" s="6">
        <v>15000</v>
      </c>
      <c r="Q80" s="6">
        <f>2000-2000</f>
        <v>0</v>
      </c>
      <c r="R80" s="6">
        <v>0</v>
      </c>
      <c r="S80" s="6">
        <v>0</v>
      </c>
      <c r="T80" s="6">
        <v>0</v>
      </c>
      <c r="U80" s="6">
        <f t="shared" si="4"/>
        <v>15000</v>
      </c>
    </row>
    <row r="81" spans="1:21" s="7" customFormat="1" ht="46.5" hidden="1" customHeight="1" outlineLevel="1" x14ac:dyDescent="0.2">
      <c r="A81" s="75"/>
      <c r="B81" s="148"/>
      <c r="C81" s="14" t="s">
        <v>253</v>
      </c>
      <c r="D81" s="149" t="s">
        <v>250</v>
      </c>
      <c r="E81" s="150"/>
      <c r="F81" s="24" t="s">
        <v>11</v>
      </c>
      <c r="G81" s="6"/>
      <c r="H81" s="9"/>
      <c r="I81" s="9"/>
      <c r="J81" s="9"/>
      <c r="K81" s="9"/>
      <c r="L81" s="9"/>
      <c r="M81" s="6"/>
      <c r="N81" s="6">
        <f t="shared" si="3"/>
        <v>0</v>
      </c>
      <c r="O81" s="6">
        <v>0</v>
      </c>
      <c r="P81" s="6">
        <v>0</v>
      </c>
      <c r="Q81" s="6">
        <f>19250-5950</f>
        <v>13300</v>
      </c>
      <c r="R81" s="6">
        <f>8900</f>
        <v>8900</v>
      </c>
      <c r="S81" s="6">
        <f>5300</f>
        <v>5300</v>
      </c>
      <c r="T81" s="6">
        <f>5500</f>
        <v>5500</v>
      </c>
      <c r="U81" s="6">
        <f t="shared" si="4"/>
        <v>33000</v>
      </c>
    </row>
    <row r="82" spans="1:21" s="7" customFormat="1" ht="49.5" hidden="1" customHeight="1" outlineLevel="1" x14ac:dyDescent="0.2">
      <c r="A82" s="469" t="s">
        <v>75</v>
      </c>
      <c r="B82" s="482"/>
      <c r="C82" s="134"/>
      <c r="D82" s="144"/>
      <c r="E82" s="145"/>
      <c r="F82" s="108" t="s">
        <v>11</v>
      </c>
      <c r="G82" s="146">
        <f t="shared" ref="G82:L82" si="5">SUM(G14:G80)-G41</f>
        <v>115838.47999999998</v>
      </c>
      <c r="H82" s="146">
        <f t="shared" si="5"/>
        <v>214504.09999999998</v>
      </c>
      <c r="I82" s="146">
        <f t="shared" si="5"/>
        <v>240425.5</v>
      </c>
      <c r="J82" s="146">
        <f t="shared" si="5"/>
        <v>295414.2</v>
      </c>
      <c r="K82" s="146">
        <f t="shared" si="5"/>
        <v>449477.26</v>
      </c>
      <c r="L82" s="146">
        <f t="shared" si="5"/>
        <v>628078.5</v>
      </c>
      <c r="M82" s="146">
        <f>SUM(M14:M80)-M41</f>
        <v>664788.29999999993</v>
      </c>
      <c r="N82" s="146">
        <f t="shared" ref="N82:U82" si="6">SUM(N14:N81)-N41</f>
        <v>2608526.3399999994</v>
      </c>
      <c r="O82" s="146">
        <f t="shared" si="6"/>
        <v>854868.20000000007</v>
      </c>
      <c r="P82" s="146">
        <f t="shared" si="6"/>
        <v>1049319.9861399999</v>
      </c>
      <c r="Q82" s="146">
        <f t="shared" si="6"/>
        <v>800931.76110999985</v>
      </c>
      <c r="R82" s="146">
        <f t="shared" si="6"/>
        <v>879903.61436000001</v>
      </c>
      <c r="S82" s="146">
        <f t="shared" si="6"/>
        <v>946132.16135999991</v>
      </c>
      <c r="T82" s="146">
        <f t="shared" si="6"/>
        <v>1038455.6748200001</v>
      </c>
      <c r="U82" s="146">
        <f t="shared" si="6"/>
        <v>8178137.7377900006</v>
      </c>
    </row>
    <row r="83" spans="1:21" s="7" customFormat="1" ht="45" hidden="1" customHeight="1" outlineLevel="1" x14ac:dyDescent="0.2">
      <c r="A83" s="232">
        <v>2</v>
      </c>
      <c r="B83" s="219" t="s">
        <v>76</v>
      </c>
      <c r="C83" s="117" t="s">
        <v>77</v>
      </c>
      <c r="D83" s="93" t="s">
        <v>10</v>
      </c>
      <c r="E83" s="484" t="s">
        <v>78</v>
      </c>
      <c r="F83" s="24" t="s">
        <v>11</v>
      </c>
      <c r="G83" s="6">
        <v>134514.32</v>
      </c>
      <c r="H83" s="6">
        <f>146683.2+8661.9</f>
        <v>155345.1</v>
      </c>
      <c r="I83" s="6">
        <v>209068.1</v>
      </c>
      <c r="J83" s="6">
        <v>224749.2</v>
      </c>
      <c r="K83" s="6">
        <v>310495.3</v>
      </c>
      <c r="L83" s="6">
        <f>24514+5642.2</f>
        <v>30156.2</v>
      </c>
      <c r="M83" s="6">
        <v>0</v>
      </c>
      <c r="N83" s="6">
        <f t="shared" si="3"/>
        <v>1064328.22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f>SUM(G83:T83)-N83</f>
        <v>1064328.22</v>
      </c>
    </row>
    <row r="84" spans="1:21" s="7" customFormat="1" ht="48.75" hidden="1" customHeight="1" outlineLevel="1" x14ac:dyDescent="0.2">
      <c r="A84" s="232"/>
      <c r="B84" s="230"/>
      <c r="C84" s="115" t="s">
        <v>79</v>
      </c>
      <c r="D84" s="97" t="s">
        <v>25</v>
      </c>
      <c r="E84" s="484"/>
      <c r="F84" s="220" t="s">
        <v>11</v>
      </c>
      <c r="G84" s="222">
        <v>3000</v>
      </c>
      <c r="H84" s="222">
        <v>12000</v>
      </c>
      <c r="I84" s="222">
        <v>3745</v>
      </c>
      <c r="J84" s="222">
        <v>8100</v>
      </c>
      <c r="K84" s="222">
        <v>9720</v>
      </c>
      <c r="L84" s="222">
        <f>0+979.5</f>
        <v>979.5</v>
      </c>
      <c r="M84" s="222">
        <v>0</v>
      </c>
      <c r="N84" s="222">
        <f t="shared" si="3"/>
        <v>37544.5</v>
      </c>
      <c r="O84" s="222">
        <v>0</v>
      </c>
      <c r="P84" s="222">
        <v>0</v>
      </c>
      <c r="Q84" s="222">
        <v>0</v>
      </c>
      <c r="R84" s="222">
        <v>0</v>
      </c>
      <c r="S84" s="222">
        <v>0</v>
      </c>
      <c r="T84" s="222">
        <v>0</v>
      </c>
      <c r="U84" s="222">
        <f t="shared" ref="U84:U147" si="7">SUM(G84:T84)-N84</f>
        <v>37544.5</v>
      </c>
    </row>
    <row r="85" spans="1:21" s="91" customFormat="1" ht="44.25" hidden="1" customHeight="1" outlineLevel="1" collapsed="1" x14ac:dyDescent="0.2">
      <c r="A85" s="101">
        <v>2</v>
      </c>
      <c r="B85" s="438" t="s">
        <v>76</v>
      </c>
      <c r="C85" s="152" t="s">
        <v>257</v>
      </c>
      <c r="D85" s="94" t="s">
        <v>252</v>
      </c>
      <c r="E85" s="238" t="s">
        <v>270</v>
      </c>
      <c r="F85" s="24" t="s">
        <v>11</v>
      </c>
      <c r="G85" s="9">
        <v>0</v>
      </c>
      <c r="H85" s="6">
        <f>498.2+2700</f>
        <v>3198.2</v>
      </c>
      <c r="I85" s="6">
        <v>0</v>
      </c>
      <c r="J85" s="6">
        <v>2200</v>
      </c>
      <c r="K85" s="6">
        <v>5500</v>
      </c>
      <c r="L85" s="6">
        <v>0</v>
      </c>
      <c r="M85" s="6">
        <v>0</v>
      </c>
      <c r="N85" s="6">
        <f t="shared" si="3"/>
        <v>10898.2</v>
      </c>
      <c r="O85" s="6">
        <v>0</v>
      </c>
      <c r="P85" s="6">
        <v>0</v>
      </c>
      <c r="Q85" s="6">
        <v>239.8</v>
      </c>
      <c r="R85" s="6">
        <v>0</v>
      </c>
      <c r="S85" s="6">
        <v>0</v>
      </c>
      <c r="T85" s="6">
        <v>0</v>
      </c>
      <c r="U85" s="6">
        <f t="shared" si="7"/>
        <v>11138</v>
      </c>
    </row>
    <row r="86" spans="1:21" s="7" customFormat="1" ht="45.75" hidden="1" customHeight="1" outlineLevel="1" x14ac:dyDescent="0.2">
      <c r="A86" s="232"/>
      <c r="B86" s="439"/>
      <c r="C86" s="153" t="s">
        <v>80</v>
      </c>
      <c r="D86" s="93" t="s">
        <v>25</v>
      </c>
      <c r="E86" s="10"/>
      <c r="F86" s="24" t="s">
        <v>11</v>
      </c>
      <c r="G86" s="6">
        <v>909</v>
      </c>
      <c r="H86" s="6">
        <v>1500</v>
      </c>
      <c r="I86" s="6">
        <v>1700</v>
      </c>
      <c r="J86" s="6">
        <v>1354.7</v>
      </c>
      <c r="K86" s="6">
        <v>1339.3</v>
      </c>
      <c r="L86" s="6">
        <f>0+564</f>
        <v>564</v>
      </c>
      <c r="M86" s="6">
        <v>0</v>
      </c>
      <c r="N86" s="6">
        <f t="shared" si="3"/>
        <v>7367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 t="shared" si="7"/>
        <v>7367</v>
      </c>
    </row>
    <row r="87" spans="1:21" s="7" customFormat="1" ht="57.75" hidden="1" customHeight="1" outlineLevel="1" x14ac:dyDescent="0.2">
      <c r="A87" s="232"/>
      <c r="B87" s="439"/>
      <c r="C87" s="153" t="s">
        <v>81</v>
      </c>
      <c r="D87" s="95" t="s">
        <v>25</v>
      </c>
      <c r="E87" s="10"/>
      <c r="F87" s="24" t="s">
        <v>11</v>
      </c>
      <c r="G87" s="9">
        <v>0</v>
      </c>
      <c r="H87" s="9">
        <v>0</v>
      </c>
      <c r="I87" s="9">
        <v>0</v>
      </c>
      <c r="J87" s="6">
        <v>12867</v>
      </c>
      <c r="K87" s="9">
        <v>0</v>
      </c>
      <c r="L87" s="9">
        <v>0</v>
      </c>
      <c r="M87" s="9">
        <v>16000</v>
      </c>
      <c r="N87" s="6">
        <f t="shared" si="3"/>
        <v>28867</v>
      </c>
      <c r="O87" s="9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f t="shared" si="7"/>
        <v>28867</v>
      </c>
    </row>
    <row r="88" spans="1:21" s="7" customFormat="1" ht="46.5" hidden="1" customHeight="1" outlineLevel="1" x14ac:dyDescent="0.2">
      <c r="A88" s="92"/>
      <c r="B88" s="439"/>
      <c r="C88" s="153" t="s">
        <v>82</v>
      </c>
      <c r="D88" s="95" t="s">
        <v>25</v>
      </c>
      <c r="E88" s="10"/>
      <c r="F88" s="24" t="s">
        <v>11</v>
      </c>
      <c r="G88" s="9">
        <v>0</v>
      </c>
      <c r="H88" s="6">
        <v>16000</v>
      </c>
      <c r="I88" s="9">
        <v>0</v>
      </c>
      <c r="J88" s="9">
        <v>0</v>
      </c>
      <c r="K88" s="9">
        <v>7218</v>
      </c>
      <c r="L88" s="9">
        <v>20000</v>
      </c>
      <c r="M88" s="9">
        <v>0</v>
      </c>
      <c r="N88" s="6">
        <f t="shared" si="3"/>
        <v>43218</v>
      </c>
      <c r="O88" s="9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f t="shared" si="7"/>
        <v>43218</v>
      </c>
    </row>
    <row r="89" spans="1:21" s="7" customFormat="1" ht="81.75" hidden="1" customHeight="1" outlineLevel="1" x14ac:dyDescent="0.2">
      <c r="A89" s="232"/>
      <c r="B89" s="439"/>
      <c r="C89" s="153" t="s">
        <v>215</v>
      </c>
      <c r="D89" s="95" t="s">
        <v>25</v>
      </c>
      <c r="E89" s="10"/>
      <c r="F89" s="24" t="s">
        <v>11</v>
      </c>
      <c r="G89" s="9">
        <v>0</v>
      </c>
      <c r="H89" s="6">
        <v>6000</v>
      </c>
      <c r="I89" s="9">
        <v>0</v>
      </c>
      <c r="J89" s="9">
        <v>8000</v>
      </c>
      <c r="K89" s="9">
        <v>0</v>
      </c>
      <c r="L89" s="9">
        <v>7042</v>
      </c>
      <c r="M89" s="9">
        <v>0</v>
      </c>
      <c r="N89" s="6">
        <f t="shared" si="3"/>
        <v>21042</v>
      </c>
      <c r="O89" s="9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f t="shared" si="7"/>
        <v>21042</v>
      </c>
    </row>
    <row r="90" spans="1:21" s="7" customFormat="1" ht="42" hidden="1" customHeight="1" outlineLevel="1" x14ac:dyDescent="0.2">
      <c r="A90" s="232"/>
      <c r="B90" s="439"/>
      <c r="C90" s="153" t="s">
        <v>83</v>
      </c>
      <c r="D90" s="96" t="s">
        <v>14</v>
      </c>
      <c r="E90" s="10"/>
      <c r="F90" s="24" t="s">
        <v>11</v>
      </c>
      <c r="G90" s="9">
        <v>0</v>
      </c>
      <c r="H90" s="6">
        <v>143</v>
      </c>
      <c r="I90" s="6">
        <v>195</v>
      </c>
      <c r="J90" s="6">
        <v>105</v>
      </c>
      <c r="K90" s="6">
        <v>105</v>
      </c>
      <c r="L90" s="6">
        <v>0</v>
      </c>
      <c r="M90" s="6">
        <v>0</v>
      </c>
      <c r="N90" s="6">
        <f t="shared" si="3"/>
        <v>548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f t="shared" si="7"/>
        <v>548</v>
      </c>
    </row>
    <row r="91" spans="1:21" s="7" customFormat="1" ht="48.75" hidden="1" customHeight="1" outlineLevel="1" x14ac:dyDescent="0.2">
      <c r="A91" s="232"/>
      <c r="B91" s="439"/>
      <c r="C91" s="153" t="s">
        <v>84</v>
      </c>
      <c r="D91" s="95" t="s">
        <v>14</v>
      </c>
      <c r="E91" s="10"/>
      <c r="F91" s="24" t="s">
        <v>11</v>
      </c>
      <c r="G91" s="9">
        <v>0</v>
      </c>
      <c r="H91" s="6">
        <v>1530.8</v>
      </c>
      <c r="I91" s="6">
        <v>490</v>
      </c>
      <c r="J91" s="6">
        <v>890</v>
      </c>
      <c r="K91" s="6">
        <v>0</v>
      </c>
      <c r="L91" s="6">
        <v>0</v>
      </c>
      <c r="M91" s="6">
        <v>0</v>
      </c>
      <c r="N91" s="6">
        <f t="shared" si="3"/>
        <v>2910.8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f t="shared" si="7"/>
        <v>2910.8</v>
      </c>
    </row>
    <row r="92" spans="1:21" s="7" customFormat="1" ht="44.25" hidden="1" customHeight="1" outlineLevel="1" x14ac:dyDescent="0.2">
      <c r="A92" s="232"/>
      <c r="B92" s="439"/>
      <c r="C92" s="153" t="s">
        <v>85</v>
      </c>
      <c r="D92" s="95" t="s">
        <v>25</v>
      </c>
      <c r="E92" s="10"/>
      <c r="F92" s="24" t="s">
        <v>11</v>
      </c>
      <c r="G92" s="9">
        <v>0</v>
      </c>
      <c r="H92" s="6">
        <v>8085</v>
      </c>
      <c r="I92" s="6">
        <v>290.89999999999998</v>
      </c>
      <c r="J92" s="6">
        <v>7367</v>
      </c>
      <c r="K92" s="6">
        <v>8499.5</v>
      </c>
      <c r="L92" s="6">
        <v>62100</v>
      </c>
      <c r="M92" s="6">
        <v>66000</v>
      </c>
      <c r="N92" s="6">
        <f t="shared" si="3"/>
        <v>152342.39999999999</v>
      </c>
      <c r="O92" s="6">
        <v>72600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f t="shared" si="7"/>
        <v>224942.4</v>
      </c>
    </row>
    <row r="93" spans="1:21" s="7" customFormat="1" ht="43.5" hidden="1" customHeight="1" outlineLevel="1" x14ac:dyDescent="0.2">
      <c r="A93" s="232"/>
      <c r="B93" s="439"/>
      <c r="C93" s="154" t="s">
        <v>86</v>
      </c>
      <c r="D93" s="96" t="s">
        <v>14</v>
      </c>
      <c r="E93" s="10"/>
      <c r="F93" s="24" t="s">
        <v>11</v>
      </c>
      <c r="G93" s="9">
        <v>0</v>
      </c>
      <c r="H93" s="6">
        <f>552+228</f>
        <v>780</v>
      </c>
      <c r="I93" s="6">
        <f>1936+2784</f>
        <v>4720</v>
      </c>
      <c r="J93" s="6">
        <f>1936+2784</f>
        <v>4720</v>
      </c>
      <c r="K93" s="6">
        <v>4720</v>
      </c>
      <c r="L93" s="6">
        <v>0</v>
      </c>
      <c r="M93" s="6">
        <v>0</v>
      </c>
      <c r="N93" s="6">
        <f t="shared" si="3"/>
        <v>14940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f t="shared" si="7"/>
        <v>14940</v>
      </c>
    </row>
    <row r="94" spans="1:21" s="7" customFormat="1" ht="42" hidden="1" customHeight="1" outlineLevel="1" x14ac:dyDescent="0.2">
      <c r="A94" s="232"/>
      <c r="B94" s="439"/>
      <c r="C94" s="155" t="s">
        <v>87</v>
      </c>
      <c r="D94" s="93" t="s">
        <v>14</v>
      </c>
      <c r="E94" s="10"/>
      <c r="F94" s="24" t="s">
        <v>11</v>
      </c>
      <c r="G94" s="9">
        <v>0</v>
      </c>
      <c r="H94" s="6">
        <v>176</v>
      </c>
      <c r="I94" s="6">
        <v>500</v>
      </c>
      <c r="J94" s="6">
        <v>0</v>
      </c>
      <c r="K94" s="6">
        <v>0</v>
      </c>
      <c r="L94" s="6">
        <v>0</v>
      </c>
      <c r="M94" s="6">
        <v>0</v>
      </c>
      <c r="N94" s="6">
        <f t="shared" si="3"/>
        <v>676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f t="shared" si="7"/>
        <v>676</v>
      </c>
    </row>
    <row r="95" spans="1:21" s="7" customFormat="1" ht="72" hidden="1" customHeight="1" outlineLevel="1" x14ac:dyDescent="0.2">
      <c r="A95" s="232"/>
      <c r="B95" s="439"/>
      <c r="C95" s="153" t="s">
        <v>193</v>
      </c>
      <c r="D95" s="95">
        <v>2019</v>
      </c>
      <c r="E95" s="10"/>
      <c r="F95" s="24" t="s">
        <v>11</v>
      </c>
      <c r="G95" s="9">
        <v>0</v>
      </c>
      <c r="H95" s="6">
        <v>0</v>
      </c>
      <c r="I95" s="6">
        <v>0</v>
      </c>
      <c r="J95" s="6">
        <v>240</v>
      </c>
      <c r="K95" s="6">
        <v>0</v>
      </c>
      <c r="L95" s="6">
        <v>0</v>
      </c>
      <c r="M95" s="6">
        <v>0</v>
      </c>
      <c r="N95" s="6">
        <f t="shared" si="3"/>
        <v>240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f t="shared" si="7"/>
        <v>240</v>
      </c>
    </row>
    <row r="96" spans="1:21" s="7" customFormat="1" ht="42.75" hidden="1" customHeight="1" outlineLevel="1" x14ac:dyDescent="0.2">
      <c r="A96" s="232"/>
      <c r="B96" s="439"/>
      <c r="C96" s="153" t="s">
        <v>88</v>
      </c>
      <c r="D96" s="95">
        <v>2020</v>
      </c>
      <c r="E96" s="10"/>
      <c r="F96" s="24" t="s">
        <v>11</v>
      </c>
      <c r="G96" s="9">
        <v>0</v>
      </c>
      <c r="H96" s="6">
        <v>0</v>
      </c>
      <c r="I96" s="6">
        <v>0</v>
      </c>
      <c r="J96" s="6">
        <v>0</v>
      </c>
      <c r="K96" s="6">
        <v>1334.27</v>
      </c>
      <c r="L96" s="6">
        <v>0</v>
      </c>
      <c r="M96" s="6">
        <v>0</v>
      </c>
      <c r="N96" s="6">
        <f t="shared" si="3"/>
        <v>1334.27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f t="shared" si="7"/>
        <v>1334.27</v>
      </c>
    </row>
    <row r="97" spans="1:21" s="7" customFormat="1" ht="42.75" hidden="1" customHeight="1" outlineLevel="1" x14ac:dyDescent="0.2">
      <c r="A97" s="232"/>
      <c r="B97" s="439"/>
      <c r="C97" s="153" t="s">
        <v>89</v>
      </c>
      <c r="D97" s="95" t="s">
        <v>90</v>
      </c>
      <c r="E97" s="10"/>
      <c r="F97" s="24" t="s">
        <v>11</v>
      </c>
      <c r="G97" s="9">
        <v>0</v>
      </c>
      <c r="H97" s="6">
        <v>0</v>
      </c>
      <c r="I97" s="6">
        <v>0</v>
      </c>
      <c r="J97" s="6">
        <v>0</v>
      </c>
      <c r="K97" s="6">
        <v>3500</v>
      </c>
      <c r="L97" s="6">
        <f>4500</f>
        <v>4500</v>
      </c>
      <c r="M97" s="6">
        <f>0+4500</f>
        <v>4500</v>
      </c>
      <c r="N97" s="6">
        <f t="shared" si="3"/>
        <v>12500</v>
      </c>
      <c r="O97" s="6">
        <v>4800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f t="shared" si="7"/>
        <v>17300</v>
      </c>
    </row>
    <row r="98" spans="1:21" s="7" customFormat="1" ht="59.25" hidden="1" customHeight="1" outlineLevel="1" x14ac:dyDescent="0.2">
      <c r="A98" s="232"/>
      <c r="B98" s="439"/>
      <c r="C98" s="153" t="s">
        <v>216</v>
      </c>
      <c r="D98" s="95">
        <v>2019</v>
      </c>
      <c r="E98" s="10"/>
      <c r="F98" s="24" t="s">
        <v>11</v>
      </c>
      <c r="G98" s="9">
        <v>0</v>
      </c>
      <c r="H98" s="6">
        <v>0</v>
      </c>
      <c r="I98" s="6">
        <v>0</v>
      </c>
      <c r="J98" s="6">
        <v>5200</v>
      </c>
      <c r="K98" s="6">
        <v>0</v>
      </c>
      <c r="L98" s="6">
        <v>0</v>
      </c>
      <c r="M98" s="6">
        <v>0</v>
      </c>
      <c r="N98" s="6">
        <f t="shared" si="3"/>
        <v>5200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f t="shared" si="7"/>
        <v>5200</v>
      </c>
    </row>
    <row r="99" spans="1:21" s="7" customFormat="1" ht="71.25" hidden="1" customHeight="1" outlineLevel="1" x14ac:dyDescent="0.2">
      <c r="A99" s="232"/>
      <c r="B99" s="439"/>
      <c r="C99" s="153" t="s">
        <v>91</v>
      </c>
      <c r="D99" s="96" t="s">
        <v>50</v>
      </c>
      <c r="E99" s="10"/>
      <c r="F99" s="24" t="s">
        <v>11</v>
      </c>
      <c r="G99" s="9">
        <v>0</v>
      </c>
      <c r="H99" s="6">
        <v>0</v>
      </c>
      <c r="I99" s="6">
        <v>0</v>
      </c>
      <c r="J99" s="6">
        <v>400</v>
      </c>
      <c r="K99" s="6">
        <v>0</v>
      </c>
      <c r="L99" s="6">
        <v>69.55</v>
      </c>
      <c r="M99" s="6">
        <v>0</v>
      </c>
      <c r="N99" s="6">
        <f t="shared" si="3"/>
        <v>469.55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f t="shared" si="7"/>
        <v>469.55</v>
      </c>
    </row>
    <row r="100" spans="1:21" s="7" customFormat="1" ht="46.5" hidden="1" customHeight="1" outlineLevel="1" x14ac:dyDescent="0.2">
      <c r="A100" s="232"/>
      <c r="B100" s="439"/>
      <c r="C100" s="153" t="s">
        <v>92</v>
      </c>
      <c r="D100" s="95" t="s">
        <v>56</v>
      </c>
      <c r="E100" s="10"/>
      <c r="F100" s="24" t="s">
        <v>11</v>
      </c>
      <c r="G100" s="9">
        <v>0</v>
      </c>
      <c r="H100" s="6">
        <v>0</v>
      </c>
      <c r="I100" s="6">
        <v>0</v>
      </c>
      <c r="J100" s="6">
        <v>30000</v>
      </c>
      <c r="K100" s="6">
        <v>0</v>
      </c>
      <c r="L100" s="6">
        <v>0</v>
      </c>
      <c r="M100" s="6">
        <v>0</v>
      </c>
      <c r="N100" s="6">
        <f t="shared" si="3"/>
        <v>30000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f t="shared" si="7"/>
        <v>30000</v>
      </c>
    </row>
    <row r="101" spans="1:21" s="7" customFormat="1" ht="56.25" hidden="1" customHeight="1" outlineLevel="1" x14ac:dyDescent="0.2">
      <c r="A101" s="232"/>
      <c r="B101" s="439"/>
      <c r="C101" s="153" t="s">
        <v>93</v>
      </c>
      <c r="D101" s="96" t="s">
        <v>50</v>
      </c>
      <c r="E101" s="10"/>
      <c r="F101" s="24" t="s">
        <v>11</v>
      </c>
      <c r="G101" s="9">
        <v>0</v>
      </c>
      <c r="H101" s="6">
        <v>0</v>
      </c>
      <c r="I101" s="6">
        <v>0</v>
      </c>
      <c r="J101" s="6">
        <v>7000</v>
      </c>
      <c r="K101" s="6">
        <v>13389</v>
      </c>
      <c r="L101" s="6">
        <f>0+4455</f>
        <v>4455</v>
      </c>
      <c r="M101" s="6">
        <f>0+2600+2000</f>
        <v>4600</v>
      </c>
      <c r="N101" s="6">
        <f t="shared" si="3"/>
        <v>29444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f t="shared" si="7"/>
        <v>29444</v>
      </c>
    </row>
    <row r="102" spans="1:21" s="7" customFormat="1" ht="71.25" hidden="1" customHeight="1" outlineLevel="1" x14ac:dyDescent="0.2">
      <c r="A102" s="232"/>
      <c r="B102" s="439"/>
      <c r="C102" s="153" t="s">
        <v>217</v>
      </c>
      <c r="D102" s="95" t="s">
        <v>90</v>
      </c>
      <c r="E102" s="10"/>
      <c r="F102" s="24" t="s">
        <v>11</v>
      </c>
      <c r="G102" s="9">
        <v>0</v>
      </c>
      <c r="H102" s="9">
        <v>0</v>
      </c>
      <c r="I102" s="9">
        <v>0</v>
      </c>
      <c r="J102" s="9">
        <v>0</v>
      </c>
      <c r="K102" s="6">
        <v>200</v>
      </c>
      <c r="L102" s="6">
        <v>97.64</v>
      </c>
      <c r="M102" s="6">
        <v>0</v>
      </c>
      <c r="N102" s="6">
        <f t="shared" si="3"/>
        <v>297.64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f t="shared" si="7"/>
        <v>297.64</v>
      </c>
    </row>
    <row r="103" spans="1:21" s="7" customFormat="1" ht="41.25" hidden="1" customHeight="1" outlineLevel="1" x14ac:dyDescent="0.2">
      <c r="A103" s="232"/>
      <c r="B103" s="439"/>
      <c r="C103" s="153" t="s">
        <v>94</v>
      </c>
      <c r="D103" s="95">
        <v>2020</v>
      </c>
      <c r="E103" s="10"/>
      <c r="F103" s="24" t="s">
        <v>11</v>
      </c>
      <c r="G103" s="9">
        <v>0</v>
      </c>
      <c r="H103" s="6">
        <v>0</v>
      </c>
      <c r="I103" s="6">
        <v>0</v>
      </c>
      <c r="J103" s="6">
        <v>0</v>
      </c>
      <c r="K103" s="6">
        <v>50000</v>
      </c>
      <c r="L103" s="6">
        <v>0</v>
      </c>
      <c r="M103" s="6">
        <v>0</v>
      </c>
      <c r="N103" s="6">
        <f t="shared" si="3"/>
        <v>50000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f t="shared" si="7"/>
        <v>50000</v>
      </c>
    </row>
    <row r="104" spans="1:21" s="7" customFormat="1" ht="36" hidden="1" customHeight="1" outlineLevel="1" x14ac:dyDescent="0.2">
      <c r="A104" s="232"/>
      <c r="B104" s="439"/>
      <c r="C104" s="153" t="s">
        <v>95</v>
      </c>
      <c r="D104" s="95">
        <v>2020</v>
      </c>
      <c r="E104" s="10"/>
      <c r="F104" s="24" t="s">
        <v>11</v>
      </c>
      <c r="G104" s="9">
        <v>0</v>
      </c>
      <c r="H104" s="6">
        <v>0</v>
      </c>
      <c r="I104" s="6">
        <v>0</v>
      </c>
      <c r="J104" s="6">
        <v>0</v>
      </c>
      <c r="K104" s="6">
        <v>690</v>
      </c>
      <c r="L104" s="6">
        <v>0</v>
      </c>
      <c r="M104" s="6">
        <v>0</v>
      </c>
      <c r="N104" s="6">
        <f t="shared" si="3"/>
        <v>690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f t="shared" si="7"/>
        <v>690</v>
      </c>
    </row>
    <row r="105" spans="1:21" s="7" customFormat="1" ht="48.75" hidden="1" customHeight="1" outlineLevel="1" x14ac:dyDescent="0.2">
      <c r="A105" s="92"/>
      <c r="B105" s="439"/>
      <c r="C105" s="154" t="s">
        <v>220</v>
      </c>
      <c r="D105" s="96">
        <v>2020</v>
      </c>
      <c r="E105" s="10"/>
      <c r="F105" s="24" t="s">
        <v>11</v>
      </c>
      <c r="G105" s="9">
        <v>0</v>
      </c>
      <c r="H105" s="6">
        <v>0</v>
      </c>
      <c r="I105" s="6">
        <v>0</v>
      </c>
      <c r="J105" s="6">
        <v>0</v>
      </c>
      <c r="K105" s="6">
        <v>900</v>
      </c>
      <c r="L105" s="6">
        <v>0</v>
      </c>
      <c r="M105" s="6">
        <v>0</v>
      </c>
      <c r="N105" s="6">
        <f t="shared" si="3"/>
        <v>900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f t="shared" si="7"/>
        <v>900</v>
      </c>
    </row>
    <row r="106" spans="1:21" s="7" customFormat="1" ht="68.25" hidden="1" customHeight="1" outlineLevel="1" x14ac:dyDescent="0.2">
      <c r="A106" s="33"/>
      <c r="B106" s="439"/>
      <c r="C106" s="155" t="s">
        <v>96</v>
      </c>
      <c r="D106" s="93" t="s">
        <v>90</v>
      </c>
      <c r="E106" s="10"/>
      <c r="F106" s="24" t="s">
        <v>11</v>
      </c>
      <c r="G106" s="9">
        <v>0</v>
      </c>
      <c r="H106" s="6">
        <v>0</v>
      </c>
      <c r="I106" s="6">
        <v>0</v>
      </c>
      <c r="J106" s="6">
        <v>0</v>
      </c>
      <c r="K106" s="6">
        <v>2334.5</v>
      </c>
      <c r="L106" s="6">
        <v>1892.3</v>
      </c>
      <c r="M106" s="6">
        <v>0</v>
      </c>
      <c r="N106" s="6">
        <f t="shared" si="3"/>
        <v>4226.8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f t="shared" si="7"/>
        <v>4226.8</v>
      </c>
    </row>
    <row r="107" spans="1:21" s="7" customFormat="1" ht="41.25" hidden="1" customHeight="1" outlineLevel="1" x14ac:dyDescent="0.2">
      <c r="A107" s="33"/>
      <c r="B107" s="439"/>
      <c r="C107" s="153" t="s">
        <v>97</v>
      </c>
      <c r="D107" s="95" t="s">
        <v>90</v>
      </c>
      <c r="E107" s="10"/>
      <c r="F107" s="24" t="s">
        <v>11</v>
      </c>
      <c r="G107" s="9">
        <v>0</v>
      </c>
      <c r="H107" s="6">
        <v>0</v>
      </c>
      <c r="I107" s="6">
        <v>0</v>
      </c>
      <c r="J107" s="6">
        <v>0</v>
      </c>
      <c r="K107" s="6">
        <v>1168.73</v>
      </c>
      <c r="L107" s="6">
        <f>0+320.8</f>
        <v>320.8</v>
      </c>
      <c r="M107" s="6">
        <v>0</v>
      </c>
      <c r="N107" s="6">
        <f t="shared" si="3"/>
        <v>1489.53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f t="shared" si="7"/>
        <v>1489.53</v>
      </c>
    </row>
    <row r="108" spans="1:21" s="7" customFormat="1" ht="58.5" hidden="1" customHeight="1" outlineLevel="1" x14ac:dyDescent="0.2">
      <c r="A108" s="33"/>
      <c r="B108" s="439"/>
      <c r="C108" s="153" t="s">
        <v>221</v>
      </c>
      <c r="D108" s="95" t="s">
        <v>98</v>
      </c>
      <c r="E108" s="10"/>
      <c r="F108" s="24" t="s">
        <v>11</v>
      </c>
      <c r="G108" s="9">
        <v>0</v>
      </c>
      <c r="H108" s="6">
        <v>0</v>
      </c>
      <c r="I108" s="6">
        <v>0</v>
      </c>
      <c r="J108" s="6">
        <v>0</v>
      </c>
      <c r="K108" s="6">
        <v>500</v>
      </c>
      <c r="L108" s="6">
        <v>500</v>
      </c>
      <c r="M108" s="6">
        <v>0</v>
      </c>
      <c r="N108" s="6">
        <f t="shared" si="3"/>
        <v>1000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f t="shared" si="7"/>
        <v>1000</v>
      </c>
    </row>
    <row r="109" spans="1:21" s="91" customFormat="1" ht="41.25" hidden="1" customHeight="1" outlineLevel="1" collapsed="1" x14ac:dyDescent="0.2">
      <c r="A109" s="33"/>
      <c r="B109" s="439"/>
      <c r="C109" s="153" t="s">
        <v>99</v>
      </c>
      <c r="D109" s="95" t="s">
        <v>255</v>
      </c>
      <c r="E109" s="10"/>
      <c r="F109" s="24" t="s">
        <v>11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6">
        <v>5200</v>
      </c>
      <c r="M109" s="6">
        <f>2860-2860</f>
        <v>0</v>
      </c>
      <c r="N109" s="6">
        <f t="shared" si="3"/>
        <v>5200</v>
      </c>
      <c r="O109" s="6">
        <v>3150</v>
      </c>
      <c r="P109" s="6">
        <v>5500</v>
      </c>
      <c r="Q109" s="6">
        <v>0</v>
      </c>
      <c r="R109" s="6">
        <f>5600-5600</f>
        <v>0</v>
      </c>
      <c r="S109" s="6">
        <v>0</v>
      </c>
      <c r="T109" s="6">
        <v>0</v>
      </c>
      <c r="U109" s="6">
        <f t="shared" si="7"/>
        <v>13850</v>
      </c>
    </row>
    <row r="110" spans="1:21" s="7" customFormat="1" ht="48" hidden="1" customHeight="1" outlineLevel="1" x14ac:dyDescent="0.2">
      <c r="A110" s="33"/>
      <c r="B110" s="439"/>
      <c r="C110" s="153" t="s">
        <v>100</v>
      </c>
      <c r="D110" s="96" t="s">
        <v>59</v>
      </c>
      <c r="E110" s="10"/>
      <c r="F110" s="24" t="s">
        <v>11</v>
      </c>
      <c r="G110" s="9">
        <v>0</v>
      </c>
      <c r="H110" s="6">
        <v>0</v>
      </c>
      <c r="I110" s="6">
        <v>0</v>
      </c>
      <c r="J110" s="6">
        <v>0</v>
      </c>
      <c r="K110" s="6">
        <v>0</v>
      </c>
      <c r="L110" s="6">
        <v>2300</v>
      </c>
      <c r="M110" s="6">
        <v>0</v>
      </c>
      <c r="N110" s="6">
        <f t="shared" si="3"/>
        <v>2300</v>
      </c>
      <c r="O110" s="6">
        <v>2800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f t="shared" si="7"/>
        <v>5100</v>
      </c>
    </row>
    <row r="111" spans="1:21" s="7" customFormat="1" ht="48.75" hidden="1" customHeight="1" outlineLevel="1" x14ac:dyDescent="0.2">
      <c r="A111" s="33"/>
      <c r="B111" s="439"/>
      <c r="C111" s="153" t="s">
        <v>102</v>
      </c>
      <c r="D111" s="95" t="s">
        <v>59</v>
      </c>
      <c r="E111" s="10"/>
      <c r="F111" s="24" t="s">
        <v>11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6">
        <v>24900</v>
      </c>
      <c r="M111" s="6">
        <f>27309.5-27309.5</f>
        <v>0</v>
      </c>
      <c r="N111" s="6">
        <f t="shared" si="3"/>
        <v>24900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f t="shared" si="7"/>
        <v>24900</v>
      </c>
    </row>
    <row r="112" spans="1:21" s="7" customFormat="1" ht="44.25" hidden="1" customHeight="1" outlineLevel="1" x14ac:dyDescent="0.2">
      <c r="A112" s="33"/>
      <c r="B112" s="439"/>
      <c r="C112" s="153" t="s">
        <v>103</v>
      </c>
      <c r="D112" s="95" t="s">
        <v>59</v>
      </c>
      <c r="E112" s="10"/>
      <c r="F112" s="24" t="s">
        <v>11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">
        <v>1000</v>
      </c>
      <c r="M112" s="6">
        <v>0</v>
      </c>
      <c r="N112" s="6">
        <f t="shared" si="3"/>
        <v>1000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f t="shared" si="7"/>
        <v>1000</v>
      </c>
    </row>
    <row r="113" spans="1:21" s="7" customFormat="1" ht="40.5" hidden="1" customHeight="1" outlineLevel="1" collapsed="1" x14ac:dyDescent="0.2">
      <c r="A113" s="33"/>
      <c r="B113" s="439"/>
      <c r="C113" s="153" t="s">
        <v>104</v>
      </c>
      <c r="D113" s="95" t="s">
        <v>59</v>
      </c>
      <c r="E113" s="10"/>
      <c r="F113" s="24" t="s">
        <v>11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6">
        <v>425000</v>
      </c>
      <c r="M113" s="6">
        <v>510000</v>
      </c>
      <c r="N113" s="6">
        <f t="shared" si="3"/>
        <v>935000</v>
      </c>
      <c r="O113" s="6">
        <f>225000-14520</f>
        <v>210480</v>
      </c>
      <c r="P113" s="6">
        <v>0</v>
      </c>
      <c r="Q113" s="6">
        <f>250000-250000</f>
        <v>0</v>
      </c>
      <c r="R113" s="6">
        <f>264500-264500</f>
        <v>0</v>
      </c>
      <c r="S113" s="6">
        <f>300000-300000</f>
        <v>0</v>
      </c>
      <c r="T113" s="6">
        <f>317400-317400</f>
        <v>0</v>
      </c>
      <c r="U113" s="6">
        <f t="shared" si="7"/>
        <v>1145480</v>
      </c>
    </row>
    <row r="114" spans="1:21" s="7" customFormat="1" ht="46.5" hidden="1" customHeight="1" outlineLevel="1" x14ac:dyDescent="0.2">
      <c r="A114" s="33"/>
      <c r="B114" s="439"/>
      <c r="C114" s="153" t="s">
        <v>105</v>
      </c>
      <c r="D114" s="95" t="s">
        <v>59</v>
      </c>
      <c r="E114" s="10"/>
      <c r="F114" s="24" t="s">
        <v>11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6">
        <v>0</v>
      </c>
      <c r="M114" s="6">
        <v>400</v>
      </c>
      <c r="N114" s="6">
        <f t="shared" si="3"/>
        <v>400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f t="shared" si="7"/>
        <v>400</v>
      </c>
    </row>
    <row r="115" spans="1:21" s="7" customFormat="1" ht="48" hidden="1" customHeight="1" outlineLevel="1" x14ac:dyDescent="0.2">
      <c r="A115" s="33"/>
      <c r="B115" s="439"/>
      <c r="C115" s="153" t="s">
        <v>208</v>
      </c>
      <c r="D115" s="95" t="s">
        <v>59</v>
      </c>
      <c r="E115" s="10"/>
      <c r="F115" s="24" t="s">
        <v>11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6">
        <v>0</v>
      </c>
      <c r="M115" s="6">
        <v>300</v>
      </c>
      <c r="N115" s="6">
        <f t="shared" si="3"/>
        <v>300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f t="shared" si="7"/>
        <v>300</v>
      </c>
    </row>
    <row r="116" spans="1:21" s="7" customFormat="1" ht="47.25" hidden="1" customHeight="1" outlineLevel="1" x14ac:dyDescent="0.2">
      <c r="A116" s="33"/>
      <c r="B116" s="439"/>
      <c r="C116" s="153" t="s">
        <v>211</v>
      </c>
      <c r="D116" s="95" t="s">
        <v>59</v>
      </c>
      <c r="E116" s="10"/>
      <c r="F116" s="24" t="s">
        <v>11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6">
        <v>0</v>
      </c>
      <c r="M116" s="6">
        <v>200</v>
      </c>
      <c r="N116" s="6">
        <f t="shared" si="3"/>
        <v>200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f t="shared" si="7"/>
        <v>200</v>
      </c>
    </row>
    <row r="117" spans="1:21" s="7" customFormat="1" ht="44.25" hidden="1" customHeight="1" outlineLevel="1" x14ac:dyDescent="0.2">
      <c r="A117" s="33"/>
      <c r="B117" s="439"/>
      <c r="C117" s="153" t="s">
        <v>194</v>
      </c>
      <c r="D117" s="97" t="s">
        <v>59</v>
      </c>
      <c r="E117" s="10"/>
      <c r="F117" s="24" t="s">
        <v>11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6">
        <v>0</v>
      </c>
      <c r="M117" s="6">
        <v>120</v>
      </c>
      <c r="N117" s="6">
        <f t="shared" si="3"/>
        <v>120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f t="shared" si="7"/>
        <v>120</v>
      </c>
    </row>
    <row r="118" spans="1:21" s="7" customFormat="1" ht="45.75" hidden="1" customHeight="1" outlineLevel="1" x14ac:dyDescent="0.2">
      <c r="A118" s="33"/>
      <c r="B118" s="439"/>
      <c r="C118" s="153" t="s">
        <v>195</v>
      </c>
      <c r="D118" s="94" t="s">
        <v>59</v>
      </c>
      <c r="E118" s="10"/>
      <c r="F118" s="24" t="s">
        <v>11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6">
        <v>0</v>
      </c>
      <c r="M118" s="6">
        <v>135</v>
      </c>
      <c r="N118" s="6">
        <f t="shared" si="3"/>
        <v>135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f t="shared" si="7"/>
        <v>135</v>
      </c>
    </row>
    <row r="119" spans="1:21" s="7" customFormat="1" ht="48" hidden="1" customHeight="1" outlineLevel="1" x14ac:dyDescent="0.2">
      <c r="A119" s="33"/>
      <c r="B119" s="439"/>
      <c r="C119" s="153" t="s">
        <v>196</v>
      </c>
      <c r="D119" s="95" t="s">
        <v>59</v>
      </c>
      <c r="E119" s="10"/>
      <c r="F119" s="24" t="s">
        <v>11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6">
        <v>0</v>
      </c>
      <c r="M119" s="6">
        <v>150</v>
      </c>
      <c r="N119" s="6">
        <f t="shared" si="3"/>
        <v>150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f t="shared" si="7"/>
        <v>150</v>
      </c>
    </row>
    <row r="120" spans="1:21" s="7" customFormat="1" ht="46.5" hidden="1" customHeight="1" outlineLevel="1" x14ac:dyDescent="0.2">
      <c r="A120" s="33"/>
      <c r="B120" s="439"/>
      <c r="C120" s="154" t="s">
        <v>106</v>
      </c>
      <c r="D120" s="96" t="s">
        <v>59</v>
      </c>
      <c r="E120" s="10"/>
      <c r="F120" s="24" t="s">
        <v>11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6">
        <v>0</v>
      </c>
      <c r="M120" s="6">
        <v>320</v>
      </c>
      <c r="N120" s="6">
        <f t="shared" si="3"/>
        <v>320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f t="shared" si="7"/>
        <v>320</v>
      </c>
    </row>
    <row r="121" spans="1:21" s="7" customFormat="1" ht="56.25" hidden="1" customHeight="1" outlineLevel="1" x14ac:dyDescent="0.2">
      <c r="A121" s="33"/>
      <c r="B121" s="439"/>
      <c r="C121" s="155" t="s">
        <v>107</v>
      </c>
      <c r="D121" s="93" t="s">
        <v>59</v>
      </c>
      <c r="E121" s="10"/>
      <c r="F121" s="24" t="s">
        <v>11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6">
        <v>500</v>
      </c>
      <c r="M121" s="6">
        <v>0</v>
      </c>
      <c r="N121" s="6">
        <f t="shared" si="3"/>
        <v>500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f t="shared" si="7"/>
        <v>500</v>
      </c>
    </row>
    <row r="122" spans="1:21" s="7" customFormat="1" ht="50.25" hidden="1" customHeight="1" outlineLevel="1" x14ac:dyDescent="0.2">
      <c r="A122" s="33"/>
      <c r="B122" s="439"/>
      <c r="C122" s="153" t="s">
        <v>108</v>
      </c>
      <c r="D122" s="95" t="s">
        <v>59</v>
      </c>
      <c r="E122" s="10"/>
      <c r="F122" s="24" t="s">
        <v>11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6">
        <v>0</v>
      </c>
      <c r="M122" s="6">
        <v>500</v>
      </c>
      <c r="N122" s="6">
        <f t="shared" si="3"/>
        <v>500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f t="shared" si="7"/>
        <v>500</v>
      </c>
    </row>
    <row r="123" spans="1:21" s="7" customFormat="1" ht="48" hidden="1" customHeight="1" outlineLevel="1" x14ac:dyDescent="0.2">
      <c r="A123" s="76"/>
      <c r="B123" s="439"/>
      <c r="C123" s="153" t="s">
        <v>109</v>
      </c>
      <c r="D123" s="95" t="s">
        <v>59</v>
      </c>
      <c r="E123" s="10"/>
      <c r="F123" s="24" t="s">
        <v>11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6">
        <v>410</v>
      </c>
      <c r="M123" s="6">
        <v>0</v>
      </c>
      <c r="N123" s="6">
        <f t="shared" si="3"/>
        <v>410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f t="shared" si="7"/>
        <v>410</v>
      </c>
    </row>
    <row r="124" spans="1:21" s="7" customFormat="1" ht="39.75" hidden="1" customHeight="1" outlineLevel="1" x14ac:dyDescent="0.2">
      <c r="A124" s="33"/>
      <c r="B124" s="439"/>
      <c r="C124" s="153" t="s">
        <v>110</v>
      </c>
      <c r="D124" s="95" t="s">
        <v>59</v>
      </c>
      <c r="E124" s="10"/>
      <c r="F124" s="24" t="s">
        <v>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6">
        <v>0</v>
      </c>
      <c r="M124" s="6">
        <v>0</v>
      </c>
      <c r="N124" s="6">
        <f t="shared" si="3"/>
        <v>0</v>
      </c>
      <c r="O124" s="6">
        <v>15000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f t="shared" si="7"/>
        <v>15000</v>
      </c>
    </row>
    <row r="125" spans="1:21" s="7" customFormat="1" ht="47.25" hidden="1" customHeight="1" outlineLevel="1" x14ac:dyDescent="0.2">
      <c r="A125" s="33"/>
      <c r="B125" s="439"/>
      <c r="C125" s="153" t="s">
        <v>111</v>
      </c>
      <c r="D125" s="95" t="s">
        <v>59</v>
      </c>
      <c r="E125" s="10"/>
      <c r="F125" s="24" t="s">
        <v>11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6">
        <v>0</v>
      </c>
      <c r="M125" s="6">
        <v>0</v>
      </c>
      <c r="N125" s="6">
        <f t="shared" si="3"/>
        <v>0</v>
      </c>
      <c r="O125" s="6">
        <v>3400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f t="shared" si="7"/>
        <v>3400</v>
      </c>
    </row>
    <row r="126" spans="1:21" s="7" customFormat="1" ht="45.75" hidden="1" customHeight="1" outlineLevel="1" x14ac:dyDescent="0.2">
      <c r="A126" s="33"/>
      <c r="B126" s="439"/>
      <c r="C126" s="153" t="s">
        <v>112</v>
      </c>
      <c r="D126" s="95" t="s">
        <v>59</v>
      </c>
      <c r="E126" s="10"/>
      <c r="F126" s="24" t="s">
        <v>11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6">
        <v>0</v>
      </c>
      <c r="M126" s="6">
        <v>0</v>
      </c>
      <c r="N126" s="6">
        <f t="shared" si="3"/>
        <v>0</v>
      </c>
      <c r="O126" s="6">
        <v>1200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f t="shared" si="7"/>
        <v>1200</v>
      </c>
    </row>
    <row r="127" spans="1:21" s="7" customFormat="1" ht="48.75" hidden="1" customHeight="1" outlineLevel="1" x14ac:dyDescent="0.2">
      <c r="A127" s="33"/>
      <c r="B127" s="439"/>
      <c r="C127" s="153" t="s">
        <v>113</v>
      </c>
      <c r="D127" s="95" t="s">
        <v>59</v>
      </c>
      <c r="E127" s="10"/>
      <c r="F127" s="24" t="s">
        <v>11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6">
        <v>0</v>
      </c>
      <c r="M127" s="6">
        <v>1000</v>
      </c>
      <c r="N127" s="6">
        <f t="shared" si="3"/>
        <v>1000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f t="shared" si="7"/>
        <v>1000</v>
      </c>
    </row>
    <row r="128" spans="1:21" s="7" customFormat="1" ht="44.25" hidden="1" customHeight="1" outlineLevel="1" x14ac:dyDescent="0.2">
      <c r="A128" s="33"/>
      <c r="B128" s="439"/>
      <c r="C128" s="153" t="s">
        <v>114</v>
      </c>
      <c r="D128" s="95" t="s">
        <v>59</v>
      </c>
      <c r="E128" s="10"/>
      <c r="F128" s="24" t="s">
        <v>11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6">
        <v>0</v>
      </c>
      <c r="M128" s="6">
        <v>0</v>
      </c>
      <c r="N128" s="6">
        <f t="shared" si="3"/>
        <v>0</v>
      </c>
      <c r="O128" s="6">
        <v>300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f t="shared" si="7"/>
        <v>300</v>
      </c>
    </row>
    <row r="129" spans="1:21" s="7" customFormat="1" ht="48.75" hidden="1" customHeight="1" outlineLevel="1" x14ac:dyDescent="0.2">
      <c r="A129" s="33"/>
      <c r="B129" s="439"/>
      <c r="C129" s="153" t="s">
        <v>115</v>
      </c>
      <c r="D129" s="95" t="s">
        <v>59</v>
      </c>
      <c r="E129" s="10"/>
      <c r="F129" s="24" t="s">
        <v>11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6">
        <v>0</v>
      </c>
      <c r="M129" s="6">
        <v>0</v>
      </c>
      <c r="N129" s="6">
        <f t="shared" si="3"/>
        <v>0</v>
      </c>
      <c r="O129" s="6">
        <v>350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f t="shared" si="7"/>
        <v>350</v>
      </c>
    </row>
    <row r="130" spans="1:21" s="7" customFormat="1" ht="43.5" hidden="1" customHeight="1" outlineLevel="1" x14ac:dyDescent="0.2">
      <c r="A130" s="33"/>
      <c r="B130" s="439"/>
      <c r="C130" s="153" t="s">
        <v>116</v>
      </c>
      <c r="D130" s="96" t="s">
        <v>59</v>
      </c>
      <c r="E130" s="10"/>
      <c r="F130" s="24" t="s">
        <v>11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6">
        <v>0</v>
      </c>
      <c r="M130" s="6">
        <v>0</v>
      </c>
      <c r="N130" s="6">
        <f t="shared" si="3"/>
        <v>0</v>
      </c>
      <c r="O130" s="6">
        <v>400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f t="shared" si="7"/>
        <v>400</v>
      </c>
    </row>
    <row r="131" spans="1:21" s="7" customFormat="1" ht="45.75" hidden="1" customHeight="1" outlineLevel="1" x14ac:dyDescent="0.2">
      <c r="A131" s="33"/>
      <c r="B131" s="439"/>
      <c r="C131" s="153" t="s">
        <v>117</v>
      </c>
      <c r="D131" s="95" t="s">
        <v>59</v>
      </c>
      <c r="E131" s="10"/>
      <c r="F131" s="24" t="s">
        <v>11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6">
        <v>0</v>
      </c>
      <c r="M131" s="6">
        <f>5000-5000</f>
        <v>0</v>
      </c>
      <c r="N131" s="6">
        <f t="shared" si="3"/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f t="shared" si="7"/>
        <v>0</v>
      </c>
    </row>
    <row r="132" spans="1:21" s="7" customFormat="1" ht="39.75" hidden="1" customHeight="1" outlineLevel="1" x14ac:dyDescent="0.2">
      <c r="A132" s="33"/>
      <c r="B132" s="439"/>
      <c r="C132" s="153" t="s">
        <v>118</v>
      </c>
      <c r="D132" s="95" t="s">
        <v>59</v>
      </c>
      <c r="E132" s="10"/>
      <c r="F132" s="24" t="s">
        <v>11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6">
        <v>0</v>
      </c>
      <c r="M132" s="6">
        <v>0</v>
      </c>
      <c r="N132" s="6">
        <f t="shared" si="3"/>
        <v>0</v>
      </c>
      <c r="O132" s="6">
        <v>12000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f t="shared" si="7"/>
        <v>12000</v>
      </c>
    </row>
    <row r="133" spans="1:21" s="7" customFormat="1" ht="50.25" hidden="1" customHeight="1" outlineLevel="1" x14ac:dyDescent="0.2">
      <c r="A133" s="33"/>
      <c r="B133" s="439"/>
      <c r="C133" s="153" t="s">
        <v>119</v>
      </c>
      <c r="D133" s="95" t="s">
        <v>59</v>
      </c>
      <c r="E133" s="10"/>
      <c r="F133" s="24" t="s">
        <v>11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6">
        <v>0</v>
      </c>
      <c r="M133" s="6">
        <f>18000-488.9+99.5</f>
        <v>17610.599999999999</v>
      </c>
      <c r="N133" s="6">
        <f t="shared" si="3"/>
        <v>17610.599999999999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f t="shared" si="7"/>
        <v>17610.599999999999</v>
      </c>
    </row>
    <row r="134" spans="1:21" s="7" customFormat="1" ht="48" hidden="1" customHeight="1" outlineLevel="1" x14ac:dyDescent="0.2">
      <c r="A134" s="33"/>
      <c r="B134" s="439"/>
      <c r="C134" s="153" t="s">
        <v>120</v>
      </c>
      <c r="D134" s="95" t="s">
        <v>59</v>
      </c>
      <c r="E134" s="10"/>
      <c r="F134" s="24" t="s">
        <v>11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6">
        <v>0</v>
      </c>
      <c r="M134" s="6">
        <v>0</v>
      </c>
      <c r="N134" s="6">
        <f t="shared" si="3"/>
        <v>0</v>
      </c>
      <c r="O134" s="6">
        <v>18000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f t="shared" si="7"/>
        <v>18000</v>
      </c>
    </row>
    <row r="135" spans="1:21" s="7" customFormat="1" ht="45.75" hidden="1" customHeight="1" outlineLevel="1" x14ac:dyDescent="0.2">
      <c r="A135" s="33"/>
      <c r="B135" s="439"/>
      <c r="C135" s="153" t="s">
        <v>197</v>
      </c>
      <c r="D135" s="95" t="s">
        <v>59</v>
      </c>
      <c r="E135" s="10"/>
      <c r="F135" s="24" t="s">
        <v>11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6">
        <v>0</v>
      </c>
      <c r="M135" s="6">
        <v>120</v>
      </c>
      <c r="N135" s="6">
        <f t="shared" si="3"/>
        <v>120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f t="shared" si="7"/>
        <v>120</v>
      </c>
    </row>
    <row r="136" spans="1:21" s="7" customFormat="1" ht="51" hidden="1" customHeight="1" outlineLevel="1" x14ac:dyDescent="0.2">
      <c r="A136" s="33"/>
      <c r="B136" s="439"/>
      <c r="C136" s="153" t="s">
        <v>186</v>
      </c>
      <c r="D136" s="97" t="s">
        <v>59</v>
      </c>
      <c r="E136" s="10"/>
      <c r="F136" s="24" t="s">
        <v>11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6">
        <v>0</v>
      </c>
      <c r="M136" s="6">
        <v>135</v>
      </c>
      <c r="N136" s="6">
        <f t="shared" si="3"/>
        <v>135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f t="shared" si="7"/>
        <v>135</v>
      </c>
    </row>
    <row r="137" spans="1:21" s="7" customFormat="1" ht="45.75" hidden="1" customHeight="1" outlineLevel="1" x14ac:dyDescent="0.2">
      <c r="A137" s="33"/>
      <c r="B137" s="439"/>
      <c r="C137" s="153" t="s">
        <v>121</v>
      </c>
      <c r="D137" s="97" t="s">
        <v>59</v>
      </c>
      <c r="E137" s="10"/>
      <c r="F137" s="24" t="s">
        <v>11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6">
        <v>0</v>
      </c>
      <c r="M137" s="6">
        <v>0</v>
      </c>
      <c r="N137" s="6">
        <f t="shared" si="3"/>
        <v>0</v>
      </c>
      <c r="O137" s="6">
        <v>300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f t="shared" si="7"/>
        <v>300</v>
      </c>
    </row>
    <row r="138" spans="1:21" s="7" customFormat="1" ht="48.75" hidden="1" customHeight="1" outlineLevel="1" x14ac:dyDescent="0.2">
      <c r="A138" s="33"/>
      <c r="B138" s="439"/>
      <c r="C138" s="153" t="s">
        <v>198</v>
      </c>
      <c r="D138" s="95" t="s">
        <v>59</v>
      </c>
      <c r="E138" s="10"/>
      <c r="F138" s="24" t="s">
        <v>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6">
        <v>0</v>
      </c>
      <c r="M138" s="6">
        <v>0</v>
      </c>
      <c r="N138" s="6">
        <f t="shared" si="3"/>
        <v>0</v>
      </c>
      <c r="O138" s="6">
        <v>350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f t="shared" si="7"/>
        <v>350</v>
      </c>
    </row>
    <row r="139" spans="1:21" s="7" customFormat="1" ht="43.5" hidden="1" customHeight="1" outlineLevel="1" x14ac:dyDescent="0.2">
      <c r="A139" s="33"/>
      <c r="B139" s="439"/>
      <c r="C139" s="154" t="s">
        <v>199</v>
      </c>
      <c r="D139" s="96" t="s">
        <v>59</v>
      </c>
      <c r="E139" s="10"/>
      <c r="F139" s="24" t="s">
        <v>11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6">
        <f>700-700</f>
        <v>0</v>
      </c>
      <c r="M139" s="6">
        <f>880</f>
        <v>880</v>
      </c>
      <c r="N139" s="6">
        <f t="shared" si="3"/>
        <v>880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f t="shared" si="7"/>
        <v>880</v>
      </c>
    </row>
    <row r="140" spans="1:21" s="7" customFormat="1" ht="53.25" hidden="1" customHeight="1" outlineLevel="1" x14ac:dyDescent="0.2">
      <c r="A140" s="33"/>
      <c r="B140" s="439"/>
      <c r="C140" s="155" t="s">
        <v>200</v>
      </c>
      <c r="D140" s="93" t="s">
        <v>59</v>
      </c>
      <c r="E140" s="10"/>
      <c r="F140" s="24" t="s">
        <v>11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6">
        <v>0</v>
      </c>
      <c r="M140" s="6">
        <v>1750</v>
      </c>
      <c r="N140" s="6">
        <f t="shared" si="3"/>
        <v>1750</v>
      </c>
      <c r="O140" s="6">
        <v>2200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f t="shared" si="7"/>
        <v>3950</v>
      </c>
    </row>
    <row r="141" spans="1:21" s="7" customFormat="1" ht="48.75" hidden="1" customHeight="1" outlineLevel="1" x14ac:dyDescent="0.2">
      <c r="A141" s="33"/>
      <c r="B141" s="439"/>
      <c r="C141" s="153" t="s">
        <v>122</v>
      </c>
      <c r="D141" s="95" t="s">
        <v>59</v>
      </c>
      <c r="E141" s="10"/>
      <c r="F141" s="24" t="s">
        <v>11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6">
        <v>500</v>
      </c>
      <c r="M141" s="6">
        <v>0</v>
      </c>
      <c r="N141" s="6">
        <f t="shared" si="3"/>
        <v>500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f t="shared" si="7"/>
        <v>500</v>
      </c>
    </row>
    <row r="142" spans="1:21" s="7" customFormat="1" ht="45.75" hidden="1" customHeight="1" outlineLevel="1" x14ac:dyDescent="0.2">
      <c r="A142" s="76"/>
      <c r="B142" s="439"/>
      <c r="C142" s="153" t="s">
        <v>123</v>
      </c>
      <c r="D142" s="95" t="s">
        <v>59</v>
      </c>
      <c r="E142" s="10"/>
      <c r="F142" s="24" t="s">
        <v>11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6">
        <v>0</v>
      </c>
      <c r="M142" s="6">
        <f>2000</f>
        <v>2000</v>
      </c>
      <c r="N142" s="6">
        <f t="shared" si="3"/>
        <v>2000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f t="shared" si="7"/>
        <v>2000</v>
      </c>
    </row>
    <row r="143" spans="1:21" s="7" customFormat="1" ht="49.5" hidden="1" customHeight="1" outlineLevel="1" collapsed="1" x14ac:dyDescent="0.2">
      <c r="A143" s="33"/>
      <c r="B143" s="439"/>
      <c r="C143" s="153" t="s">
        <v>124</v>
      </c>
      <c r="D143" s="95" t="s">
        <v>61</v>
      </c>
      <c r="E143" s="10"/>
      <c r="F143" s="24" t="s">
        <v>11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6">
        <v>20000</v>
      </c>
      <c r="M143" s="6">
        <f>22000+28000</f>
        <v>50000</v>
      </c>
      <c r="N143" s="6">
        <f t="shared" si="3"/>
        <v>70000</v>
      </c>
      <c r="O143" s="6">
        <f>24200+265.6</f>
        <v>24465.599999999999</v>
      </c>
      <c r="P143" s="6">
        <v>33993</v>
      </c>
      <c r="Q143" s="6">
        <f>36372.51</f>
        <v>36372.51</v>
      </c>
      <c r="R143" s="6">
        <f>38482.11558-38482.11558</f>
        <v>0</v>
      </c>
      <c r="S143" s="6">
        <f>40714.07828364-40714.07828364</f>
        <v>0</v>
      </c>
      <c r="T143" s="6">
        <v>43075.494824091133</v>
      </c>
      <c r="U143" s="6">
        <f t="shared" si="7"/>
        <v>207906.60482409113</v>
      </c>
    </row>
    <row r="144" spans="1:21" s="7" customFormat="1" ht="42.75" hidden="1" customHeight="1" outlineLevel="1" x14ac:dyDescent="0.2">
      <c r="A144" s="33"/>
      <c r="B144" s="230"/>
      <c r="C144" s="153" t="s">
        <v>125</v>
      </c>
      <c r="D144" s="95" t="s">
        <v>59</v>
      </c>
      <c r="E144" s="10"/>
      <c r="F144" s="24" t="s">
        <v>11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6">
        <f>4000+349.7-4349.7</f>
        <v>0</v>
      </c>
      <c r="M144" s="6">
        <f>0+4349.7</f>
        <v>4349.7</v>
      </c>
      <c r="N144" s="6">
        <f t="shared" ref="N144:N207" si="8">G144+H144+I144+J144+K144+L144+M144</f>
        <v>4349.7</v>
      </c>
      <c r="O144" s="6">
        <f>2100-2100</f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f t="shared" si="7"/>
        <v>4349.7</v>
      </c>
    </row>
    <row r="145" spans="1:21" s="7" customFormat="1" ht="43.5" hidden="1" customHeight="1" outlineLevel="1" x14ac:dyDescent="0.2">
      <c r="A145" s="33"/>
      <c r="B145" s="230"/>
      <c r="C145" s="153" t="s">
        <v>126</v>
      </c>
      <c r="D145" s="95" t="s">
        <v>59</v>
      </c>
      <c r="E145" s="10"/>
      <c r="F145" s="24" t="s">
        <v>11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6">
        <v>4500</v>
      </c>
      <c r="M145" s="6">
        <f>5000-5000</f>
        <v>0</v>
      </c>
      <c r="N145" s="6">
        <f t="shared" si="8"/>
        <v>4500</v>
      </c>
      <c r="O145" s="6">
        <v>5500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f t="shared" si="7"/>
        <v>10000</v>
      </c>
    </row>
    <row r="146" spans="1:21" s="7" customFormat="1" ht="45" hidden="1" customHeight="1" outlineLevel="1" x14ac:dyDescent="0.2">
      <c r="A146" s="33"/>
      <c r="B146" s="230"/>
      <c r="C146" s="153" t="s">
        <v>127</v>
      </c>
      <c r="D146" s="95" t="s">
        <v>59</v>
      </c>
      <c r="E146" s="10"/>
      <c r="F146" s="24" t="s">
        <v>11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6">
        <f>4000-349.7</f>
        <v>3650.3</v>
      </c>
      <c r="M146" s="6">
        <v>0</v>
      </c>
      <c r="N146" s="6">
        <f t="shared" si="8"/>
        <v>3650.3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f t="shared" si="7"/>
        <v>3650.3</v>
      </c>
    </row>
    <row r="147" spans="1:21" s="7" customFormat="1" ht="43.5" hidden="1" customHeight="1" outlineLevel="1" x14ac:dyDescent="0.2">
      <c r="A147" s="33"/>
      <c r="B147" s="230"/>
      <c r="C147" s="153" t="s">
        <v>128</v>
      </c>
      <c r="D147" s="95" t="s">
        <v>61</v>
      </c>
      <c r="E147" s="10"/>
      <c r="F147" s="24" t="s">
        <v>11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6">
        <v>0</v>
      </c>
      <c r="M147" s="6">
        <f>2500</f>
        <v>2500</v>
      </c>
      <c r="N147" s="6">
        <f t="shared" si="8"/>
        <v>2500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7800</v>
      </c>
      <c r="U147" s="6">
        <f t="shared" si="7"/>
        <v>10300</v>
      </c>
    </row>
    <row r="148" spans="1:21" s="91" customFormat="1" ht="42" hidden="1" customHeight="1" outlineLevel="1" collapsed="1" x14ac:dyDescent="0.2">
      <c r="A148" s="33"/>
      <c r="B148" s="230"/>
      <c r="C148" s="153" t="s">
        <v>129</v>
      </c>
      <c r="D148" s="95" t="s">
        <v>255</v>
      </c>
      <c r="E148" s="10"/>
      <c r="F148" s="24" t="s">
        <v>11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6">
        <v>2500</v>
      </c>
      <c r="M148" s="6">
        <v>2750</v>
      </c>
      <c r="N148" s="6">
        <f t="shared" si="8"/>
        <v>5250</v>
      </c>
      <c r="O148" s="6">
        <f>2900+2100-500</f>
        <v>4500</v>
      </c>
      <c r="P148" s="6">
        <v>6500</v>
      </c>
      <c r="Q148" s="6">
        <v>0</v>
      </c>
      <c r="R148" s="6">
        <f>7100-7100</f>
        <v>0</v>
      </c>
      <c r="S148" s="6">
        <v>0</v>
      </c>
      <c r="T148" s="6">
        <v>0</v>
      </c>
      <c r="U148" s="6">
        <f t="shared" ref="U148:U211" si="9">SUM(G148:T148)-N148</f>
        <v>16250</v>
      </c>
    </row>
    <row r="149" spans="1:21" s="7" customFormat="1" ht="48" hidden="1" customHeight="1" outlineLevel="1" x14ac:dyDescent="0.2">
      <c r="A149" s="33"/>
      <c r="B149" s="230"/>
      <c r="C149" s="153" t="s">
        <v>130</v>
      </c>
      <c r="D149" s="96" t="s">
        <v>59</v>
      </c>
      <c r="E149" s="10"/>
      <c r="F149" s="24" t="s">
        <v>11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6">
        <v>900</v>
      </c>
      <c r="M149" s="6">
        <v>0</v>
      </c>
      <c r="N149" s="6">
        <f t="shared" si="8"/>
        <v>900</v>
      </c>
      <c r="O149" s="6">
        <v>1100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f t="shared" si="9"/>
        <v>2000</v>
      </c>
    </row>
    <row r="150" spans="1:21" s="7" customFormat="1" ht="45" hidden="1" customHeight="1" outlineLevel="1" x14ac:dyDescent="0.2">
      <c r="A150" s="33"/>
      <c r="B150" s="230"/>
      <c r="C150" s="153" t="s">
        <v>131</v>
      </c>
      <c r="D150" s="95" t="s">
        <v>59</v>
      </c>
      <c r="E150" s="10"/>
      <c r="F150" s="24" t="s">
        <v>11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6">
        <v>300</v>
      </c>
      <c r="M150" s="6">
        <f>330-330</f>
        <v>0</v>
      </c>
      <c r="N150" s="6">
        <f t="shared" si="8"/>
        <v>300</v>
      </c>
      <c r="O150" s="6">
        <f>370-265.6</f>
        <v>104.39999999999998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f t="shared" si="9"/>
        <v>404.4</v>
      </c>
    </row>
    <row r="151" spans="1:21" s="7" customFormat="1" ht="39.75" hidden="1" customHeight="1" outlineLevel="1" collapsed="1" x14ac:dyDescent="0.2">
      <c r="A151" s="33"/>
      <c r="B151" s="230"/>
      <c r="C151" s="153" t="s">
        <v>132</v>
      </c>
      <c r="D151" s="95" t="s">
        <v>59</v>
      </c>
      <c r="E151" s="10"/>
      <c r="F151" s="24" t="s">
        <v>11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6">
        <v>0</v>
      </c>
      <c r="M151" s="6">
        <v>0</v>
      </c>
      <c r="N151" s="6">
        <f t="shared" si="8"/>
        <v>0</v>
      </c>
      <c r="O151" s="6">
        <v>4000</v>
      </c>
      <c r="P151" s="6">
        <v>0</v>
      </c>
      <c r="Q151" s="6">
        <v>0</v>
      </c>
      <c r="R151" s="6">
        <v>0</v>
      </c>
      <c r="S151" s="6">
        <f>6157-6157</f>
        <v>0</v>
      </c>
      <c r="T151" s="6">
        <v>0</v>
      </c>
      <c r="U151" s="6">
        <f t="shared" si="9"/>
        <v>4000</v>
      </c>
    </row>
    <row r="152" spans="1:21" s="7" customFormat="1" ht="44.25" hidden="1" customHeight="1" outlineLevel="1" x14ac:dyDescent="0.2">
      <c r="A152" s="33"/>
      <c r="B152" s="230"/>
      <c r="C152" s="153" t="s">
        <v>133</v>
      </c>
      <c r="D152" s="95" t="s">
        <v>59</v>
      </c>
      <c r="E152" s="10"/>
      <c r="F152" s="24" t="s">
        <v>11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6">
        <v>0</v>
      </c>
      <c r="M152" s="6">
        <f>7000-2000</f>
        <v>5000</v>
      </c>
      <c r="N152" s="6">
        <f t="shared" si="8"/>
        <v>5000</v>
      </c>
      <c r="O152" s="6">
        <v>7700</v>
      </c>
      <c r="P152" s="6">
        <v>0</v>
      </c>
      <c r="Q152" s="6">
        <v>0</v>
      </c>
      <c r="R152" s="6">
        <v>0</v>
      </c>
      <c r="S152" s="6">
        <f>9500-9500</f>
        <v>0</v>
      </c>
      <c r="T152" s="6">
        <v>0</v>
      </c>
      <c r="U152" s="6">
        <f t="shared" si="9"/>
        <v>12700</v>
      </c>
    </row>
    <row r="153" spans="1:21" s="7" customFormat="1" ht="41.25" hidden="1" customHeight="1" outlineLevel="1" x14ac:dyDescent="0.2">
      <c r="A153" s="33"/>
      <c r="B153" s="230"/>
      <c r="C153" s="153" t="s">
        <v>134</v>
      </c>
      <c r="D153" s="95" t="s">
        <v>59</v>
      </c>
      <c r="E153" s="10"/>
      <c r="F153" s="24" t="s">
        <v>11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6">
        <f>5000-2397</f>
        <v>2603</v>
      </c>
      <c r="M153" s="6">
        <f>5500</f>
        <v>5500</v>
      </c>
      <c r="N153" s="6">
        <f t="shared" si="8"/>
        <v>8103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f t="shared" si="9"/>
        <v>8103</v>
      </c>
    </row>
    <row r="154" spans="1:21" s="7" customFormat="1" ht="42" hidden="1" customHeight="1" outlineLevel="1" collapsed="1" x14ac:dyDescent="0.2">
      <c r="A154" s="33"/>
      <c r="B154" s="230"/>
      <c r="C154" s="153" t="s">
        <v>135</v>
      </c>
      <c r="D154" s="95" t="s">
        <v>260</v>
      </c>
      <c r="E154" s="10"/>
      <c r="F154" s="24" t="s">
        <v>11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6">
        <v>65000</v>
      </c>
      <c r="M154" s="6">
        <v>0</v>
      </c>
      <c r="N154" s="6">
        <f t="shared" si="8"/>
        <v>65000</v>
      </c>
      <c r="O154" s="6">
        <v>0</v>
      </c>
      <c r="P154" s="6">
        <v>0</v>
      </c>
      <c r="Q154" s="6">
        <f>212000-212000</f>
        <v>0</v>
      </c>
      <c r="R154" s="6">
        <v>0</v>
      </c>
      <c r="S154" s="6">
        <v>0</v>
      </c>
      <c r="T154" s="6">
        <v>0</v>
      </c>
      <c r="U154" s="6">
        <f t="shared" si="9"/>
        <v>65000</v>
      </c>
    </row>
    <row r="155" spans="1:21" s="7" customFormat="1" ht="46.5" hidden="1" customHeight="1" outlineLevel="3" x14ac:dyDescent="0.2">
      <c r="A155" s="33"/>
      <c r="B155" s="230"/>
      <c r="C155" s="153" t="s">
        <v>201</v>
      </c>
      <c r="D155" s="95" t="s">
        <v>61</v>
      </c>
      <c r="E155" s="10"/>
      <c r="F155" s="24" t="s">
        <v>11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6">
        <v>0</v>
      </c>
      <c r="M155" s="6">
        <f>7700-7700</f>
        <v>0</v>
      </c>
      <c r="N155" s="6">
        <f t="shared" si="8"/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16300</v>
      </c>
      <c r="U155" s="6">
        <f t="shared" si="9"/>
        <v>16300</v>
      </c>
    </row>
    <row r="156" spans="1:21" s="7" customFormat="1" ht="44.25" hidden="1" customHeight="1" outlineLevel="1" collapsed="1" x14ac:dyDescent="0.2">
      <c r="A156" s="33"/>
      <c r="B156" s="230"/>
      <c r="C156" s="154" t="s">
        <v>273</v>
      </c>
      <c r="D156" s="96" t="s">
        <v>59</v>
      </c>
      <c r="E156" s="10"/>
      <c r="F156" s="24" t="s">
        <v>11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6">
        <v>0</v>
      </c>
      <c r="M156" s="6">
        <v>0</v>
      </c>
      <c r="N156" s="6">
        <f t="shared" si="8"/>
        <v>0</v>
      </c>
      <c r="O156" s="6">
        <v>8500</v>
      </c>
      <c r="P156" s="6">
        <v>0</v>
      </c>
      <c r="Q156" s="6">
        <v>0</v>
      </c>
      <c r="R156" s="6">
        <v>0</v>
      </c>
      <c r="S156" s="6">
        <f>3860-3860</f>
        <v>0</v>
      </c>
      <c r="T156" s="6">
        <v>0</v>
      </c>
      <c r="U156" s="6">
        <f t="shared" si="9"/>
        <v>8500</v>
      </c>
    </row>
    <row r="157" spans="1:21" s="7" customFormat="1" ht="69" hidden="1" customHeight="1" outlineLevel="3" x14ac:dyDescent="0.2">
      <c r="A157" s="33"/>
      <c r="B157" s="230"/>
      <c r="C157" s="155" t="s">
        <v>212</v>
      </c>
      <c r="D157" s="93" t="s">
        <v>59</v>
      </c>
      <c r="E157" s="10"/>
      <c r="F157" s="24" t="s">
        <v>11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6">
        <v>78600</v>
      </c>
      <c r="M157" s="6">
        <v>78400</v>
      </c>
      <c r="N157" s="6">
        <f t="shared" si="8"/>
        <v>157000</v>
      </c>
      <c r="O157" s="6">
        <v>78500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f t="shared" si="9"/>
        <v>235500</v>
      </c>
    </row>
    <row r="158" spans="1:21" s="7" customFormat="1" ht="46.5" hidden="1" customHeight="1" outlineLevel="3" collapsed="1" x14ac:dyDescent="0.2">
      <c r="A158" s="33"/>
      <c r="B158" s="230"/>
      <c r="C158" s="156" t="s">
        <v>136</v>
      </c>
      <c r="D158" s="95" t="s">
        <v>256</v>
      </c>
      <c r="E158" s="10"/>
      <c r="F158" s="24" t="s">
        <v>11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6">
        <v>46839</v>
      </c>
      <c r="M158" s="6">
        <v>52023</v>
      </c>
      <c r="N158" s="6">
        <f t="shared" si="8"/>
        <v>98862</v>
      </c>
      <c r="O158" s="6">
        <v>100985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f t="shared" si="9"/>
        <v>199847</v>
      </c>
    </row>
    <row r="159" spans="1:21" s="7" customFormat="1" ht="54.75" hidden="1" customHeight="1" outlineLevel="1" collapsed="1" x14ac:dyDescent="0.2">
      <c r="A159" s="78"/>
      <c r="B159" s="69"/>
      <c r="C159" s="153" t="s">
        <v>137</v>
      </c>
      <c r="D159" s="95" t="s">
        <v>61</v>
      </c>
      <c r="E159" s="18"/>
      <c r="F159" s="24" t="s">
        <v>11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6">
        <v>487872.01</v>
      </c>
      <c r="M159" s="6">
        <f>565781.7-700</f>
        <v>565081.69999999995</v>
      </c>
      <c r="N159" s="6">
        <f t="shared" si="8"/>
        <v>1052953.71</v>
      </c>
      <c r="O159" s="6">
        <v>606173.69999999995</v>
      </c>
      <c r="P159" s="6">
        <v>715064.5</v>
      </c>
      <c r="Q159" s="6">
        <f>777154.5-28938.68</f>
        <v>748215.82</v>
      </c>
      <c r="R159" s="6">
        <f>837218.4-31837.45</f>
        <v>805380.95000000007</v>
      </c>
      <c r="S159" s="6">
        <f>902652.4-74671.29</f>
        <v>827981.11</v>
      </c>
      <c r="T159" s="6">
        <v>973021.7</v>
      </c>
      <c r="U159" s="6">
        <f t="shared" si="9"/>
        <v>5728791.4900000002</v>
      </c>
    </row>
    <row r="160" spans="1:21" s="7" customFormat="1" ht="47.25" hidden="1" customHeight="1" outlineLevel="1" x14ac:dyDescent="0.2">
      <c r="A160" s="33"/>
      <c r="B160" s="230"/>
      <c r="C160" s="153" t="s">
        <v>187</v>
      </c>
      <c r="D160" s="98">
        <v>2021</v>
      </c>
      <c r="E160" s="10"/>
      <c r="F160" s="24" t="s">
        <v>11</v>
      </c>
      <c r="G160" s="9">
        <v>0</v>
      </c>
      <c r="H160" s="6">
        <v>0</v>
      </c>
      <c r="I160" s="6">
        <v>0</v>
      </c>
      <c r="J160" s="6">
        <v>0</v>
      </c>
      <c r="K160" s="6">
        <v>0</v>
      </c>
      <c r="L160" s="6">
        <v>241.5</v>
      </c>
      <c r="M160" s="6">
        <v>0</v>
      </c>
      <c r="N160" s="6">
        <f t="shared" si="8"/>
        <v>241.5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f t="shared" si="9"/>
        <v>241.5</v>
      </c>
    </row>
    <row r="161" spans="1:21" s="7" customFormat="1" ht="42" hidden="1" customHeight="1" outlineLevel="1" x14ac:dyDescent="0.2">
      <c r="A161" s="76"/>
      <c r="B161" s="230"/>
      <c r="C161" s="153" t="s">
        <v>202</v>
      </c>
      <c r="D161" s="98">
        <v>2021</v>
      </c>
      <c r="E161" s="10"/>
      <c r="F161" s="24" t="s">
        <v>11</v>
      </c>
      <c r="G161" s="9">
        <v>0</v>
      </c>
      <c r="H161" s="6">
        <v>0</v>
      </c>
      <c r="I161" s="6">
        <v>0</v>
      </c>
      <c r="J161" s="6">
        <v>0</v>
      </c>
      <c r="K161" s="6">
        <v>0</v>
      </c>
      <c r="L161" s="6">
        <f>0+400</f>
        <v>400</v>
      </c>
      <c r="M161" s="6">
        <v>0</v>
      </c>
      <c r="N161" s="6">
        <f t="shared" si="8"/>
        <v>400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f t="shared" si="9"/>
        <v>400</v>
      </c>
    </row>
    <row r="162" spans="1:21" s="7" customFormat="1" ht="44.25" hidden="1" customHeight="1" outlineLevel="1" x14ac:dyDescent="0.2">
      <c r="A162" s="33"/>
      <c r="B162" s="230"/>
      <c r="C162" s="153" t="s">
        <v>138</v>
      </c>
      <c r="D162" s="98">
        <v>2021</v>
      </c>
      <c r="E162" s="10"/>
      <c r="F162" s="24" t="s">
        <v>11</v>
      </c>
      <c r="G162" s="9">
        <v>0</v>
      </c>
      <c r="H162" s="6">
        <v>0</v>
      </c>
      <c r="I162" s="6">
        <v>0</v>
      </c>
      <c r="J162" s="6">
        <v>0</v>
      </c>
      <c r="K162" s="6">
        <v>0</v>
      </c>
      <c r="L162" s="6">
        <f>0+300</f>
        <v>300</v>
      </c>
      <c r="M162" s="6">
        <v>0</v>
      </c>
      <c r="N162" s="6">
        <f t="shared" si="8"/>
        <v>300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f t="shared" si="9"/>
        <v>300</v>
      </c>
    </row>
    <row r="163" spans="1:21" s="7" customFormat="1" ht="47.25" hidden="1" customHeight="1" outlineLevel="1" x14ac:dyDescent="0.2">
      <c r="A163" s="33"/>
      <c r="B163" s="230"/>
      <c r="C163" s="153" t="s">
        <v>188</v>
      </c>
      <c r="D163" s="98">
        <v>2021</v>
      </c>
      <c r="E163" s="10"/>
      <c r="F163" s="24" t="s">
        <v>11</v>
      </c>
      <c r="G163" s="9">
        <v>0</v>
      </c>
      <c r="H163" s="6">
        <v>0</v>
      </c>
      <c r="I163" s="6">
        <v>0</v>
      </c>
      <c r="J163" s="6">
        <v>0</v>
      </c>
      <c r="K163" s="6">
        <v>0</v>
      </c>
      <c r="L163" s="6">
        <v>2397</v>
      </c>
      <c r="M163" s="6">
        <v>0</v>
      </c>
      <c r="N163" s="6">
        <f t="shared" si="8"/>
        <v>2397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f t="shared" si="9"/>
        <v>2397</v>
      </c>
    </row>
    <row r="164" spans="1:21" s="7" customFormat="1" ht="39" hidden="1" customHeight="1" outlineLevel="1" x14ac:dyDescent="0.2">
      <c r="A164" s="33"/>
      <c r="B164" s="230"/>
      <c r="C164" s="153" t="s">
        <v>139</v>
      </c>
      <c r="D164" s="99">
        <v>2022</v>
      </c>
      <c r="E164" s="10"/>
      <c r="F164" s="24" t="s">
        <v>11</v>
      </c>
      <c r="G164" s="9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2500</v>
      </c>
      <c r="N164" s="6">
        <f t="shared" si="8"/>
        <v>2500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f t="shared" si="9"/>
        <v>2500</v>
      </c>
    </row>
    <row r="165" spans="1:21" s="7" customFormat="1" ht="43.5" hidden="1" customHeight="1" outlineLevel="1" collapsed="1" x14ac:dyDescent="0.2">
      <c r="A165" s="33"/>
      <c r="B165" s="230"/>
      <c r="C165" s="153" t="s">
        <v>140</v>
      </c>
      <c r="D165" s="98" t="s">
        <v>61</v>
      </c>
      <c r="E165" s="10"/>
      <c r="F165" s="24" t="s">
        <v>11</v>
      </c>
      <c r="G165" s="9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6400</v>
      </c>
      <c r="N165" s="6">
        <f t="shared" si="8"/>
        <v>6400</v>
      </c>
      <c r="O165" s="6">
        <v>0</v>
      </c>
      <c r="P165" s="6">
        <v>0</v>
      </c>
      <c r="Q165" s="6">
        <v>0</v>
      </c>
      <c r="R165" s="6">
        <v>0</v>
      </c>
      <c r="S165" s="6">
        <f>18000-18000</f>
        <v>0</v>
      </c>
      <c r="T165" s="6">
        <v>19000</v>
      </c>
      <c r="U165" s="6">
        <f t="shared" si="9"/>
        <v>25400</v>
      </c>
    </row>
    <row r="166" spans="1:21" s="7" customFormat="1" ht="49.5" hidden="1" customHeight="1" outlineLevel="1" x14ac:dyDescent="0.2">
      <c r="A166" s="33"/>
      <c r="B166" s="230"/>
      <c r="C166" s="153" t="s">
        <v>141</v>
      </c>
      <c r="D166" s="98" t="s">
        <v>59</v>
      </c>
      <c r="E166" s="10"/>
      <c r="F166" s="24" t="s">
        <v>11</v>
      </c>
      <c r="G166" s="9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2600</v>
      </c>
      <c r="N166" s="6">
        <f t="shared" si="8"/>
        <v>2600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f t="shared" si="9"/>
        <v>2600</v>
      </c>
    </row>
    <row r="167" spans="1:21" s="7" customFormat="1" ht="47.25" hidden="1" customHeight="1" outlineLevel="1" x14ac:dyDescent="0.2">
      <c r="A167" s="33"/>
      <c r="B167" s="230"/>
      <c r="C167" s="153" t="s">
        <v>142</v>
      </c>
      <c r="D167" s="98" t="s">
        <v>59</v>
      </c>
      <c r="E167" s="10"/>
      <c r="F167" s="24" t="s">
        <v>11</v>
      </c>
      <c r="G167" s="9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1500</v>
      </c>
      <c r="N167" s="6">
        <f t="shared" si="8"/>
        <v>1500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f t="shared" si="9"/>
        <v>1500</v>
      </c>
    </row>
    <row r="168" spans="1:21" s="7" customFormat="1" ht="48" hidden="1" customHeight="1" outlineLevel="1" x14ac:dyDescent="0.2">
      <c r="A168" s="33"/>
      <c r="B168" s="230"/>
      <c r="C168" s="153" t="s">
        <v>143</v>
      </c>
      <c r="D168" s="98">
        <v>2022</v>
      </c>
      <c r="E168" s="10"/>
      <c r="F168" s="24" t="s">
        <v>11</v>
      </c>
      <c r="G168" s="9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700</v>
      </c>
      <c r="N168" s="6">
        <f t="shared" si="8"/>
        <v>700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f t="shared" si="9"/>
        <v>700</v>
      </c>
    </row>
    <row r="169" spans="1:21" s="7" customFormat="1" ht="42.75" hidden="1" customHeight="1" outlineLevel="1" x14ac:dyDescent="0.2">
      <c r="A169" s="33"/>
      <c r="B169" s="230"/>
      <c r="C169" s="153" t="s">
        <v>144</v>
      </c>
      <c r="D169" s="100">
        <v>2023</v>
      </c>
      <c r="E169" s="10"/>
      <c r="F169" s="34" t="s">
        <v>11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6">
        <v>0</v>
      </c>
      <c r="M169" s="6">
        <v>0</v>
      </c>
      <c r="N169" s="6">
        <f t="shared" si="8"/>
        <v>0</v>
      </c>
      <c r="O169" s="6">
        <v>400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f t="shared" si="9"/>
        <v>400</v>
      </c>
    </row>
    <row r="170" spans="1:21" s="91" customFormat="1" ht="42" hidden="1" customHeight="1" outlineLevel="1" collapsed="1" x14ac:dyDescent="0.2">
      <c r="A170" s="33"/>
      <c r="B170" s="230"/>
      <c r="C170" s="154" t="s">
        <v>189</v>
      </c>
      <c r="D170" s="100">
        <v>2023</v>
      </c>
      <c r="E170" s="10"/>
      <c r="F170" s="34" t="s">
        <v>11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6">
        <v>0</v>
      </c>
      <c r="M170" s="6">
        <v>0</v>
      </c>
      <c r="N170" s="6">
        <f t="shared" si="8"/>
        <v>0</v>
      </c>
      <c r="O170" s="6">
        <v>9800</v>
      </c>
      <c r="P170" s="6">
        <v>0</v>
      </c>
      <c r="Q170" s="6">
        <v>0</v>
      </c>
      <c r="R170" s="6">
        <v>0</v>
      </c>
      <c r="S170" s="6">
        <v>0</v>
      </c>
      <c r="T170" s="6">
        <f>13760-13760</f>
        <v>0</v>
      </c>
      <c r="U170" s="6">
        <f t="shared" si="9"/>
        <v>9800</v>
      </c>
    </row>
    <row r="171" spans="1:21" s="91" customFormat="1" ht="40.5" hidden="1" customHeight="1" outlineLevel="1" x14ac:dyDescent="0.2">
      <c r="A171" s="33"/>
      <c r="B171" s="32"/>
      <c r="C171" s="155" t="s">
        <v>145</v>
      </c>
      <c r="D171" s="92">
        <v>2023</v>
      </c>
      <c r="E171" s="10"/>
      <c r="F171" s="127" t="s">
        <v>11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2">
        <v>0</v>
      </c>
      <c r="M171" s="22">
        <v>0</v>
      </c>
      <c r="N171" s="22">
        <f t="shared" si="8"/>
        <v>0</v>
      </c>
      <c r="O171" s="22">
        <v>4100</v>
      </c>
      <c r="P171" s="22">
        <v>0</v>
      </c>
      <c r="Q171" s="22">
        <v>0</v>
      </c>
      <c r="R171" s="22">
        <v>0</v>
      </c>
      <c r="S171" s="22">
        <v>0</v>
      </c>
      <c r="T171" s="22">
        <f>5757-5757</f>
        <v>0</v>
      </c>
      <c r="U171" s="22">
        <f t="shared" si="9"/>
        <v>4100</v>
      </c>
    </row>
    <row r="172" spans="1:21" s="7" customFormat="1" ht="46.5" hidden="1" customHeight="1" outlineLevel="1" x14ac:dyDescent="0.2">
      <c r="A172" s="33"/>
      <c r="B172" s="32"/>
      <c r="C172" s="153" t="s">
        <v>146</v>
      </c>
      <c r="D172" s="101">
        <v>2023</v>
      </c>
      <c r="E172" s="35"/>
      <c r="F172" s="34" t="s">
        <v>11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6">
        <v>0</v>
      </c>
      <c r="M172" s="6">
        <v>0</v>
      </c>
      <c r="N172" s="6">
        <f t="shared" si="8"/>
        <v>0</v>
      </c>
      <c r="O172" s="6">
        <v>720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f t="shared" si="9"/>
        <v>720</v>
      </c>
    </row>
    <row r="173" spans="1:21" s="7" customFormat="1" ht="45.75" hidden="1" customHeight="1" outlineLevel="1" x14ac:dyDescent="0.2">
      <c r="A173" s="33"/>
      <c r="B173" s="32"/>
      <c r="C173" s="153" t="s">
        <v>229</v>
      </c>
      <c r="D173" s="102" t="s">
        <v>73</v>
      </c>
      <c r="E173" s="36"/>
      <c r="F173" s="79" t="s">
        <v>11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5">
        <v>0</v>
      </c>
      <c r="M173" s="65">
        <v>0</v>
      </c>
      <c r="N173" s="6">
        <f t="shared" si="8"/>
        <v>0</v>
      </c>
      <c r="O173" s="65">
        <v>0</v>
      </c>
      <c r="P173" s="6">
        <v>273</v>
      </c>
      <c r="Q173" s="66">
        <v>0</v>
      </c>
      <c r="R173" s="66">
        <v>0</v>
      </c>
      <c r="S173" s="66">
        <v>0</v>
      </c>
      <c r="T173" s="65">
        <f>700-700</f>
        <v>0</v>
      </c>
      <c r="U173" s="6">
        <f t="shared" si="9"/>
        <v>273</v>
      </c>
    </row>
    <row r="174" spans="1:21" s="7" customFormat="1" ht="39.75" hidden="1" customHeight="1" outlineLevel="1" collapsed="1" x14ac:dyDescent="0.2">
      <c r="A174" s="33"/>
      <c r="B174" s="32"/>
      <c r="C174" s="153" t="s">
        <v>147</v>
      </c>
      <c r="D174" s="102" t="s">
        <v>73</v>
      </c>
      <c r="E174" s="32"/>
      <c r="F174" s="79" t="s">
        <v>11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5">
        <v>0</v>
      </c>
      <c r="M174" s="65">
        <v>0</v>
      </c>
      <c r="N174" s="6">
        <f t="shared" si="8"/>
        <v>0</v>
      </c>
      <c r="O174" s="65">
        <v>0</v>
      </c>
      <c r="P174" s="6">
        <v>3550</v>
      </c>
      <c r="Q174" s="65">
        <v>0</v>
      </c>
      <c r="R174" s="65">
        <v>0</v>
      </c>
      <c r="S174" s="6">
        <f>4250-4250</f>
        <v>0</v>
      </c>
      <c r="T174" s="65">
        <v>0</v>
      </c>
      <c r="U174" s="6">
        <f t="shared" si="9"/>
        <v>3550</v>
      </c>
    </row>
    <row r="175" spans="1:21" s="7" customFormat="1" ht="48" hidden="1" customHeight="1" outlineLevel="1" x14ac:dyDescent="0.2">
      <c r="A175" s="33"/>
      <c r="B175" s="32"/>
      <c r="C175" s="153" t="s">
        <v>222</v>
      </c>
      <c r="D175" s="102" t="s">
        <v>73</v>
      </c>
      <c r="E175" s="32"/>
      <c r="F175" s="79" t="s">
        <v>11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5">
        <v>0</v>
      </c>
      <c r="M175" s="65">
        <v>0</v>
      </c>
      <c r="N175" s="6">
        <f t="shared" si="8"/>
        <v>0</v>
      </c>
      <c r="O175" s="65">
        <v>0</v>
      </c>
      <c r="P175" s="6">
        <v>1150</v>
      </c>
      <c r="Q175" s="66">
        <v>0</v>
      </c>
      <c r="R175" s="66">
        <v>0</v>
      </c>
      <c r="S175" s="66">
        <v>0</v>
      </c>
      <c r="T175" s="65">
        <f>700-700</f>
        <v>0</v>
      </c>
      <c r="U175" s="6">
        <f t="shared" si="9"/>
        <v>1150</v>
      </c>
    </row>
    <row r="176" spans="1:21" s="7" customFormat="1" ht="43.5" hidden="1" customHeight="1" outlineLevel="1" x14ac:dyDescent="0.2">
      <c r="A176" s="33"/>
      <c r="B176" s="32"/>
      <c r="C176" s="153" t="s">
        <v>223</v>
      </c>
      <c r="D176" s="102" t="s">
        <v>73</v>
      </c>
      <c r="E176" s="32"/>
      <c r="F176" s="79" t="s">
        <v>11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5">
        <v>0</v>
      </c>
      <c r="M176" s="65">
        <v>0</v>
      </c>
      <c r="N176" s="6">
        <f t="shared" si="8"/>
        <v>0</v>
      </c>
      <c r="O176" s="65">
        <v>0</v>
      </c>
      <c r="P176" s="6">
        <v>420</v>
      </c>
      <c r="Q176" s="66">
        <v>0</v>
      </c>
      <c r="R176" s="66">
        <v>0</v>
      </c>
      <c r="S176" s="66">
        <v>0</v>
      </c>
      <c r="T176" s="65">
        <f>700-700</f>
        <v>0</v>
      </c>
      <c r="U176" s="6">
        <f t="shared" si="9"/>
        <v>420</v>
      </c>
    </row>
    <row r="177" spans="1:21" s="7" customFormat="1" ht="43.5" hidden="1" customHeight="1" outlineLevel="1" x14ac:dyDescent="0.2">
      <c r="A177" s="33"/>
      <c r="B177" s="32"/>
      <c r="C177" s="153" t="s">
        <v>224</v>
      </c>
      <c r="D177" s="102" t="s">
        <v>73</v>
      </c>
      <c r="E177" s="32"/>
      <c r="F177" s="79" t="s">
        <v>11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5">
        <v>0</v>
      </c>
      <c r="M177" s="65">
        <v>0</v>
      </c>
      <c r="N177" s="6">
        <f t="shared" si="8"/>
        <v>0</v>
      </c>
      <c r="O177" s="65">
        <v>0</v>
      </c>
      <c r="P177" s="6">
        <v>5700</v>
      </c>
      <c r="Q177" s="66">
        <v>0</v>
      </c>
      <c r="R177" s="66">
        <v>0</v>
      </c>
      <c r="S177" s="66">
        <v>0</v>
      </c>
      <c r="T177" s="65">
        <f>700-700</f>
        <v>0</v>
      </c>
      <c r="U177" s="6">
        <f t="shared" si="9"/>
        <v>5700</v>
      </c>
    </row>
    <row r="178" spans="1:21" s="91" customFormat="1" ht="42" hidden="1" customHeight="1" outlineLevel="1" collapsed="1" x14ac:dyDescent="0.2">
      <c r="A178" s="33"/>
      <c r="B178" s="32"/>
      <c r="C178" s="153" t="s">
        <v>225</v>
      </c>
      <c r="D178" s="102" t="s">
        <v>73</v>
      </c>
      <c r="E178" s="32"/>
      <c r="F178" s="79" t="s">
        <v>11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5">
        <v>0</v>
      </c>
      <c r="M178" s="65">
        <v>0</v>
      </c>
      <c r="N178" s="6">
        <f t="shared" si="8"/>
        <v>0</v>
      </c>
      <c r="O178" s="66">
        <v>0</v>
      </c>
      <c r="P178" s="66">
        <v>0</v>
      </c>
      <c r="Q178" s="66">
        <v>0</v>
      </c>
      <c r="R178" s="65">
        <v>0</v>
      </c>
      <c r="S178" s="65">
        <v>0</v>
      </c>
      <c r="T178" s="6">
        <f>8500-8500</f>
        <v>0</v>
      </c>
      <c r="U178" s="6">
        <f t="shared" si="9"/>
        <v>0</v>
      </c>
    </row>
    <row r="179" spans="1:21" s="7" customFormat="1" ht="45.75" hidden="1" customHeight="1" outlineLevel="1" x14ac:dyDescent="0.2">
      <c r="A179" s="33"/>
      <c r="B179" s="32"/>
      <c r="C179" s="153" t="s">
        <v>226</v>
      </c>
      <c r="D179" s="102" t="s">
        <v>73</v>
      </c>
      <c r="E179" s="32"/>
      <c r="F179" s="79" t="s">
        <v>11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5">
        <v>0</v>
      </c>
      <c r="M179" s="65">
        <v>0</v>
      </c>
      <c r="N179" s="6">
        <f t="shared" si="8"/>
        <v>0</v>
      </c>
      <c r="O179" s="66">
        <v>0</v>
      </c>
      <c r="P179" s="6">
        <v>12500</v>
      </c>
      <c r="Q179" s="66">
        <v>0</v>
      </c>
      <c r="R179" s="66">
        <v>0</v>
      </c>
      <c r="S179" s="66">
        <v>0</v>
      </c>
      <c r="T179" s="65">
        <f>700-700</f>
        <v>0</v>
      </c>
      <c r="U179" s="6">
        <f t="shared" si="9"/>
        <v>12500</v>
      </c>
    </row>
    <row r="180" spans="1:21" s="7" customFormat="1" ht="41.25" hidden="1" customHeight="1" outlineLevel="1" x14ac:dyDescent="0.2">
      <c r="A180" s="33"/>
      <c r="B180" s="32"/>
      <c r="C180" s="153" t="s">
        <v>227</v>
      </c>
      <c r="D180" s="102" t="s">
        <v>73</v>
      </c>
      <c r="E180" s="32"/>
      <c r="F180" s="79" t="s">
        <v>11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5">
        <v>0</v>
      </c>
      <c r="M180" s="65">
        <v>0</v>
      </c>
      <c r="N180" s="6">
        <f t="shared" si="8"/>
        <v>0</v>
      </c>
      <c r="O180" s="66">
        <v>0</v>
      </c>
      <c r="P180" s="6">
        <v>5400</v>
      </c>
      <c r="Q180" s="66">
        <v>0</v>
      </c>
      <c r="R180" s="66">
        <v>0</v>
      </c>
      <c r="S180" s="66">
        <v>0</v>
      </c>
      <c r="T180" s="65">
        <f>700-700</f>
        <v>0</v>
      </c>
      <c r="U180" s="6">
        <f t="shared" si="9"/>
        <v>5400</v>
      </c>
    </row>
    <row r="181" spans="1:21" s="7" customFormat="1" ht="46.5" hidden="1" customHeight="1" outlineLevel="1" x14ac:dyDescent="0.2">
      <c r="A181" s="76"/>
      <c r="B181" s="77"/>
      <c r="C181" s="153" t="s">
        <v>228</v>
      </c>
      <c r="D181" s="102" t="s">
        <v>73</v>
      </c>
      <c r="E181" s="77"/>
      <c r="F181" s="79" t="s">
        <v>11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5">
        <v>0</v>
      </c>
      <c r="M181" s="65">
        <v>0</v>
      </c>
      <c r="N181" s="6">
        <f t="shared" si="8"/>
        <v>0</v>
      </c>
      <c r="O181" s="66">
        <v>0</v>
      </c>
      <c r="P181" s="6">
        <v>2800</v>
      </c>
      <c r="Q181" s="66">
        <v>0</v>
      </c>
      <c r="R181" s="66">
        <v>0</v>
      </c>
      <c r="S181" s="66">
        <v>0</v>
      </c>
      <c r="T181" s="65">
        <f>700-700</f>
        <v>0</v>
      </c>
      <c r="U181" s="6">
        <f t="shared" si="9"/>
        <v>2800</v>
      </c>
    </row>
    <row r="182" spans="1:21" s="7" customFormat="1" ht="40.5" hidden="1" customHeight="1" outlineLevel="1" x14ac:dyDescent="0.2">
      <c r="A182" s="33"/>
      <c r="B182" s="32"/>
      <c r="C182" s="153" t="s">
        <v>243</v>
      </c>
      <c r="D182" s="102" t="s">
        <v>73</v>
      </c>
      <c r="E182" s="32"/>
      <c r="F182" s="79" t="s">
        <v>11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5">
        <v>0</v>
      </c>
      <c r="M182" s="65">
        <v>0</v>
      </c>
      <c r="N182" s="6">
        <f t="shared" si="8"/>
        <v>0</v>
      </c>
      <c r="O182" s="66">
        <v>0</v>
      </c>
      <c r="P182" s="6">
        <v>650</v>
      </c>
      <c r="Q182" s="66">
        <v>0</v>
      </c>
      <c r="R182" s="6">
        <v>0</v>
      </c>
      <c r="S182" s="66">
        <v>0</v>
      </c>
      <c r="T182" s="6">
        <v>824</v>
      </c>
      <c r="U182" s="6">
        <f t="shared" si="9"/>
        <v>1474</v>
      </c>
    </row>
    <row r="183" spans="1:21" s="7" customFormat="1" ht="42" hidden="1" customHeight="1" outlineLevel="1" collapsed="1" x14ac:dyDescent="0.2">
      <c r="A183" s="33"/>
      <c r="B183" s="32"/>
      <c r="C183" s="153" t="s">
        <v>148</v>
      </c>
      <c r="D183" s="102" t="s">
        <v>73</v>
      </c>
      <c r="E183" s="32"/>
      <c r="F183" s="79" t="s">
        <v>11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5">
        <v>0</v>
      </c>
      <c r="M183" s="65">
        <v>0</v>
      </c>
      <c r="N183" s="6">
        <f t="shared" si="8"/>
        <v>0</v>
      </c>
      <c r="O183" s="66">
        <v>0</v>
      </c>
      <c r="P183" s="66">
        <v>0</v>
      </c>
      <c r="Q183" s="66">
        <v>0</v>
      </c>
      <c r="R183" s="65">
        <v>0</v>
      </c>
      <c r="S183" s="6">
        <f>667-667</f>
        <v>0</v>
      </c>
      <c r="T183" s="66">
        <v>0</v>
      </c>
      <c r="U183" s="6">
        <f t="shared" si="9"/>
        <v>0</v>
      </c>
    </row>
    <row r="184" spans="1:21" s="7" customFormat="1" ht="40.5" hidden="1" customHeight="1" outlineLevel="1" x14ac:dyDescent="0.2">
      <c r="A184" s="33"/>
      <c r="B184" s="32"/>
      <c r="C184" s="153" t="s">
        <v>149</v>
      </c>
      <c r="D184" s="102" t="s">
        <v>73</v>
      </c>
      <c r="E184" s="32"/>
      <c r="F184" s="79" t="s">
        <v>11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5">
        <v>0</v>
      </c>
      <c r="M184" s="65">
        <v>0</v>
      </c>
      <c r="N184" s="6">
        <f t="shared" si="8"/>
        <v>0</v>
      </c>
      <c r="O184" s="66">
        <v>0</v>
      </c>
      <c r="P184" s="66">
        <v>0</v>
      </c>
      <c r="Q184" s="66">
        <v>0</v>
      </c>
      <c r="R184" s="65">
        <v>0</v>
      </c>
      <c r="S184" s="6">
        <f>120-120</f>
        <v>0</v>
      </c>
      <c r="T184" s="66">
        <v>0</v>
      </c>
      <c r="U184" s="6">
        <f t="shared" si="9"/>
        <v>0</v>
      </c>
    </row>
    <row r="185" spans="1:21" s="7" customFormat="1" ht="41.25" hidden="1" customHeight="1" outlineLevel="1" x14ac:dyDescent="0.2">
      <c r="A185" s="33"/>
      <c r="B185" s="32"/>
      <c r="C185" s="154" t="s">
        <v>231</v>
      </c>
      <c r="D185" s="102" t="s">
        <v>73</v>
      </c>
      <c r="E185" s="32"/>
      <c r="F185" s="79" t="s">
        <v>11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5">
        <v>0</v>
      </c>
      <c r="M185" s="65">
        <v>0</v>
      </c>
      <c r="N185" s="6">
        <f t="shared" si="8"/>
        <v>0</v>
      </c>
      <c r="O185" s="66">
        <v>0</v>
      </c>
      <c r="P185" s="66">
        <v>0</v>
      </c>
      <c r="Q185" s="65">
        <v>0</v>
      </c>
      <c r="R185" s="6">
        <f>160-160</f>
        <v>0</v>
      </c>
      <c r="S185" s="66">
        <v>0</v>
      </c>
      <c r="T185" s="6">
        <v>179</v>
      </c>
      <c r="U185" s="6">
        <f t="shared" si="9"/>
        <v>179</v>
      </c>
    </row>
    <row r="186" spans="1:21" s="7" customFormat="1" ht="39" hidden="1" customHeight="1" outlineLevel="1" x14ac:dyDescent="0.2">
      <c r="A186" s="33"/>
      <c r="B186" s="32"/>
      <c r="C186" s="155" t="s">
        <v>150</v>
      </c>
      <c r="D186" s="103" t="s">
        <v>73</v>
      </c>
      <c r="E186" s="32"/>
      <c r="F186" s="79" t="s">
        <v>11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5">
        <v>0</v>
      </c>
      <c r="M186" s="65">
        <v>0</v>
      </c>
      <c r="N186" s="6">
        <f t="shared" si="8"/>
        <v>0</v>
      </c>
      <c r="O186" s="66">
        <v>0</v>
      </c>
      <c r="P186" s="66">
        <v>0</v>
      </c>
      <c r="Q186" s="65">
        <v>0</v>
      </c>
      <c r="R186" s="6">
        <f>120-120</f>
        <v>0</v>
      </c>
      <c r="S186" s="66">
        <v>0</v>
      </c>
      <c r="T186" s="65">
        <v>0</v>
      </c>
      <c r="U186" s="6">
        <f t="shared" si="9"/>
        <v>0</v>
      </c>
    </row>
    <row r="187" spans="1:21" s="7" customFormat="1" ht="45" hidden="1" customHeight="1" outlineLevel="1" x14ac:dyDescent="0.2">
      <c r="A187" s="33"/>
      <c r="B187" s="32"/>
      <c r="C187" s="153" t="s">
        <v>151</v>
      </c>
      <c r="D187" s="102" t="s">
        <v>73</v>
      </c>
      <c r="E187" s="32"/>
      <c r="F187" s="79" t="s">
        <v>11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5">
        <v>0</v>
      </c>
      <c r="M187" s="65">
        <v>0</v>
      </c>
      <c r="N187" s="6">
        <f t="shared" si="8"/>
        <v>0</v>
      </c>
      <c r="O187" s="66">
        <v>0</v>
      </c>
      <c r="P187" s="66">
        <v>0</v>
      </c>
      <c r="Q187" s="66">
        <v>0</v>
      </c>
      <c r="R187" s="65">
        <v>0</v>
      </c>
      <c r="S187" s="6">
        <f>154-154</f>
        <v>0</v>
      </c>
      <c r="T187" s="66">
        <v>0</v>
      </c>
      <c r="U187" s="6">
        <f t="shared" si="9"/>
        <v>0</v>
      </c>
    </row>
    <row r="188" spans="1:21" s="7" customFormat="1" ht="42.75" hidden="1" customHeight="1" outlineLevel="1" x14ac:dyDescent="0.2">
      <c r="A188" s="33"/>
      <c r="B188" s="32"/>
      <c r="C188" s="153" t="s">
        <v>230</v>
      </c>
      <c r="D188" s="102" t="s">
        <v>73</v>
      </c>
      <c r="E188" s="32"/>
      <c r="F188" s="79" t="s">
        <v>11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5">
        <v>0</v>
      </c>
      <c r="M188" s="65">
        <v>0</v>
      </c>
      <c r="N188" s="6">
        <f t="shared" si="8"/>
        <v>0</v>
      </c>
      <c r="O188" s="66">
        <v>0</v>
      </c>
      <c r="P188" s="66">
        <v>0</v>
      </c>
      <c r="Q188" s="66">
        <v>0</v>
      </c>
      <c r="R188" s="65">
        <v>0</v>
      </c>
      <c r="S188" s="6">
        <f>1343-1343</f>
        <v>0</v>
      </c>
      <c r="T188" s="66">
        <v>0</v>
      </c>
      <c r="U188" s="6">
        <f t="shared" si="9"/>
        <v>0</v>
      </c>
    </row>
    <row r="189" spans="1:21" s="7" customFormat="1" ht="39" hidden="1" customHeight="1" outlineLevel="1" x14ac:dyDescent="0.2">
      <c r="A189" s="33"/>
      <c r="B189" s="32"/>
      <c r="C189" s="153" t="s">
        <v>233</v>
      </c>
      <c r="D189" s="102" t="s">
        <v>73</v>
      </c>
      <c r="E189" s="32"/>
      <c r="F189" s="79" t="s">
        <v>11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5">
        <v>0</v>
      </c>
      <c r="M189" s="65">
        <v>0</v>
      </c>
      <c r="N189" s="6">
        <f t="shared" si="8"/>
        <v>0</v>
      </c>
      <c r="O189" s="66">
        <v>0</v>
      </c>
      <c r="P189" s="66">
        <v>0</v>
      </c>
      <c r="Q189" s="66">
        <v>0</v>
      </c>
      <c r="R189" s="65">
        <v>0</v>
      </c>
      <c r="S189" s="6">
        <f>150-150</f>
        <v>0</v>
      </c>
      <c r="T189" s="66">
        <v>0</v>
      </c>
      <c r="U189" s="6">
        <f t="shared" si="9"/>
        <v>0</v>
      </c>
    </row>
    <row r="190" spans="1:21" s="7" customFormat="1" ht="43.5" hidden="1" customHeight="1" outlineLevel="1" x14ac:dyDescent="0.2">
      <c r="A190" s="33"/>
      <c r="B190" s="32"/>
      <c r="C190" s="153" t="s">
        <v>234</v>
      </c>
      <c r="D190" s="102" t="s">
        <v>73</v>
      </c>
      <c r="E190" s="32"/>
      <c r="F190" s="79" t="s">
        <v>11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5">
        <v>0</v>
      </c>
      <c r="M190" s="65">
        <v>0</v>
      </c>
      <c r="N190" s="6">
        <f t="shared" si="8"/>
        <v>0</v>
      </c>
      <c r="O190" s="66">
        <v>0</v>
      </c>
      <c r="P190" s="66">
        <v>0</v>
      </c>
      <c r="Q190" s="66">
        <v>0</v>
      </c>
      <c r="R190" s="65">
        <v>0</v>
      </c>
      <c r="S190" s="66">
        <v>0</v>
      </c>
      <c r="T190" s="6">
        <v>190</v>
      </c>
      <c r="U190" s="6">
        <f t="shared" si="9"/>
        <v>190</v>
      </c>
    </row>
    <row r="191" spans="1:21" s="7" customFormat="1" ht="39.75" hidden="1" customHeight="1" outlineLevel="1" collapsed="1" x14ac:dyDescent="0.2">
      <c r="A191" s="33"/>
      <c r="B191" s="32"/>
      <c r="C191" s="153" t="s">
        <v>274</v>
      </c>
      <c r="D191" s="102" t="s">
        <v>73</v>
      </c>
      <c r="E191" s="32"/>
      <c r="F191" s="79" t="s">
        <v>11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5">
        <v>0</v>
      </c>
      <c r="M191" s="65">
        <v>0</v>
      </c>
      <c r="N191" s="6">
        <f t="shared" si="8"/>
        <v>0</v>
      </c>
      <c r="O191" s="66">
        <v>0</v>
      </c>
      <c r="P191" s="66">
        <v>0</v>
      </c>
      <c r="Q191" s="66">
        <v>0</v>
      </c>
      <c r="R191" s="65">
        <v>0</v>
      </c>
      <c r="S191" s="6">
        <f>134-134</f>
        <v>0</v>
      </c>
      <c r="T191" s="66">
        <v>0</v>
      </c>
      <c r="U191" s="6">
        <f t="shared" si="9"/>
        <v>0</v>
      </c>
    </row>
    <row r="192" spans="1:21" s="7" customFormat="1" ht="37.5" hidden="1" customHeight="1" outlineLevel="1" x14ac:dyDescent="0.2">
      <c r="A192" s="33"/>
      <c r="B192" s="32"/>
      <c r="C192" s="153" t="s">
        <v>235</v>
      </c>
      <c r="D192" s="102" t="s">
        <v>73</v>
      </c>
      <c r="E192" s="32"/>
      <c r="F192" s="79" t="s">
        <v>11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5">
        <v>0</v>
      </c>
      <c r="M192" s="65">
        <v>0</v>
      </c>
      <c r="N192" s="6">
        <f t="shared" si="8"/>
        <v>0</v>
      </c>
      <c r="O192" s="66">
        <v>0</v>
      </c>
      <c r="P192" s="66">
        <v>0</v>
      </c>
      <c r="Q192" s="66">
        <v>0</v>
      </c>
      <c r="R192" s="65">
        <v>0</v>
      </c>
      <c r="S192" s="6">
        <f>196-196</f>
        <v>0</v>
      </c>
      <c r="T192" s="66">
        <v>0</v>
      </c>
      <c r="U192" s="6">
        <f t="shared" si="9"/>
        <v>0</v>
      </c>
    </row>
    <row r="193" spans="1:21" s="91" customFormat="1" ht="40.5" hidden="1" customHeight="1" outlineLevel="1" x14ac:dyDescent="0.2">
      <c r="A193" s="33"/>
      <c r="B193" s="32"/>
      <c r="C193" s="153" t="s">
        <v>152</v>
      </c>
      <c r="D193" s="102" t="s">
        <v>73</v>
      </c>
      <c r="E193" s="32"/>
      <c r="F193" s="79" t="s">
        <v>11</v>
      </c>
      <c r="G193" s="66">
        <v>0</v>
      </c>
      <c r="H193" s="66">
        <v>0</v>
      </c>
      <c r="I193" s="66">
        <v>0</v>
      </c>
      <c r="J193" s="66">
        <v>0</v>
      </c>
      <c r="K193" s="66">
        <v>0</v>
      </c>
      <c r="L193" s="65">
        <v>0</v>
      </c>
      <c r="M193" s="65">
        <v>0</v>
      </c>
      <c r="N193" s="6">
        <f t="shared" si="8"/>
        <v>0</v>
      </c>
      <c r="O193" s="66">
        <v>0</v>
      </c>
      <c r="P193" s="66">
        <v>0</v>
      </c>
      <c r="Q193" s="66">
        <v>0</v>
      </c>
      <c r="R193" s="65">
        <v>0</v>
      </c>
      <c r="S193" s="6">
        <f>5600-5600</f>
        <v>0</v>
      </c>
      <c r="T193" s="66">
        <v>0</v>
      </c>
      <c r="U193" s="6">
        <f t="shared" si="9"/>
        <v>0</v>
      </c>
    </row>
    <row r="194" spans="1:21" s="91" customFormat="1" ht="40.5" hidden="1" customHeight="1" outlineLevel="1" x14ac:dyDescent="0.2">
      <c r="A194" s="31"/>
      <c r="B194" s="32"/>
      <c r="C194" s="154" t="s">
        <v>280</v>
      </c>
      <c r="D194" s="102" t="s">
        <v>73</v>
      </c>
      <c r="E194" s="32"/>
      <c r="F194" s="79" t="s">
        <v>11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5">
        <v>0</v>
      </c>
      <c r="M194" s="65">
        <v>0</v>
      </c>
      <c r="N194" s="6">
        <f t="shared" si="8"/>
        <v>0</v>
      </c>
      <c r="O194" s="66">
        <v>0</v>
      </c>
      <c r="P194" s="66">
        <v>0</v>
      </c>
      <c r="Q194" s="66">
        <v>0</v>
      </c>
      <c r="R194" s="65">
        <v>0</v>
      </c>
      <c r="S194" s="6">
        <f>3358-3358</f>
        <v>0</v>
      </c>
      <c r="T194" s="66">
        <v>0</v>
      </c>
      <c r="U194" s="6">
        <f t="shared" si="9"/>
        <v>0</v>
      </c>
    </row>
    <row r="195" spans="1:21" s="7" customFormat="1" ht="44.25" hidden="1" customHeight="1" outlineLevel="1" x14ac:dyDescent="0.2">
      <c r="A195" s="33"/>
      <c r="B195" s="32"/>
      <c r="C195" s="116" t="s">
        <v>153</v>
      </c>
      <c r="D195" s="103" t="s">
        <v>73</v>
      </c>
      <c r="E195" s="32"/>
      <c r="F195" s="193" t="s">
        <v>11</v>
      </c>
      <c r="G195" s="194">
        <v>0</v>
      </c>
      <c r="H195" s="194">
        <v>0</v>
      </c>
      <c r="I195" s="194">
        <v>0</v>
      </c>
      <c r="J195" s="194">
        <v>0</v>
      </c>
      <c r="K195" s="194">
        <v>0</v>
      </c>
      <c r="L195" s="195">
        <v>0</v>
      </c>
      <c r="M195" s="195">
        <v>0</v>
      </c>
      <c r="N195" s="22">
        <f t="shared" si="8"/>
        <v>0</v>
      </c>
      <c r="O195" s="194">
        <v>0</v>
      </c>
      <c r="P195" s="194">
        <v>0</v>
      </c>
      <c r="Q195" s="194">
        <v>0</v>
      </c>
      <c r="R195" s="195">
        <v>0</v>
      </c>
      <c r="S195" s="195">
        <v>0</v>
      </c>
      <c r="T195" s="22">
        <v>300</v>
      </c>
      <c r="U195" s="22">
        <f t="shared" si="9"/>
        <v>300</v>
      </c>
    </row>
    <row r="196" spans="1:21" s="7" customFormat="1" ht="71.25" hidden="1" customHeight="1" outlineLevel="1" x14ac:dyDescent="0.2">
      <c r="A196" s="33"/>
      <c r="B196" s="32"/>
      <c r="C196" s="117" t="s">
        <v>232</v>
      </c>
      <c r="D196" s="102" t="s">
        <v>73</v>
      </c>
      <c r="E196" s="32"/>
      <c r="F196" s="79" t="s">
        <v>11</v>
      </c>
      <c r="G196" s="66">
        <v>0</v>
      </c>
      <c r="H196" s="66">
        <v>0</v>
      </c>
      <c r="I196" s="66">
        <v>0</v>
      </c>
      <c r="J196" s="66">
        <v>0</v>
      </c>
      <c r="K196" s="66">
        <v>0</v>
      </c>
      <c r="L196" s="65">
        <v>0</v>
      </c>
      <c r="M196" s="65">
        <v>0</v>
      </c>
      <c r="N196" s="6">
        <f t="shared" si="8"/>
        <v>0</v>
      </c>
      <c r="O196" s="66">
        <v>0</v>
      </c>
      <c r="P196" s="6">
        <v>800</v>
      </c>
      <c r="Q196" s="66">
        <v>0</v>
      </c>
      <c r="R196" s="65">
        <v>0</v>
      </c>
      <c r="S196" s="65">
        <v>0</v>
      </c>
      <c r="T196" s="66">
        <v>0</v>
      </c>
      <c r="U196" s="6">
        <f t="shared" si="9"/>
        <v>800</v>
      </c>
    </row>
    <row r="197" spans="1:21" s="7" customFormat="1" ht="69" hidden="1" customHeight="1" outlineLevel="1" collapsed="1" x14ac:dyDescent="0.2">
      <c r="A197" s="31"/>
      <c r="B197" s="32"/>
      <c r="C197" s="117" t="s">
        <v>281</v>
      </c>
      <c r="D197" s="102" t="s">
        <v>73</v>
      </c>
      <c r="E197" s="32"/>
      <c r="F197" s="79" t="s">
        <v>11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5">
        <v>0</v>
      </c>
      <c r="M197" s="65">
        <v>0</v>
      </c>
      <c r="N197" s="6">
        <f t="shared" si="8"/>
        <v>0</v>
      </c>
      <c r="O197" s="66">
        <v>0</v>
      </c>
      <c r="P197" s="66">
        <v>0</v>
      </c>
      <c r="Q197" s="6">
        <f>25000-25000</f>
        <v>0</v>
      </c>
      <c r="R197" s="65">
        <v>0</v>
      </c>
      <c r="S197" s="65">
        <v>0</v>
      </c>
      <c r="T197" s="66">
        <v>0</v>
      </c>
      <c r="U197" s="6">
        <f t="shared" si="9"/>
        <v>0</v>
      </c>
    </row>
    <row r="198" spans="1:21" s="7" customFormat="1" ht="3.75" hidden="1" customHeight="1" outlineLevel="1" x14ac:dyDescent="0.2">
      <c r="A198" s="33"/>
      <c r="B198" s="32"/>
      <c r="C198" s="115" t="s">
        <v>245</v>
      </c>
      <c r="D198" s="157" t="s">
        <v>73</v>
      </c>
      <c r="E198" s="32"/>
      <c r="F198" s="223" t="s">
        <v>11</v>
      </c>
      <c r="G198" s="224">
        <v>0</v>
      </c>
      <c r="H198" s="224">
        <v>0</v>
      </c>
      <c r="I198" s="224">
        <v>0</v>
      </c>
      <c r="J198" s="224">
        <v>0</v>
      </c>
      <c r="K198" s="224">
        <v>0</v>
      </c>
      <c r="L198" s="225">
        <v>0</v>
      </c>
      <c r="M198" s="225">
        <v>0</v>
      </c>
      <c r="N198" s="222">
        <f t="shared" si="8"/>
        <v>0</v>
      </c>
      <c r="O198" s="224">
        <v>0</v>
      </c>
      <c r="P198" s="222">
        <v>2663.3</v>
      </c>
      <c r="Q198" s="224">
        <v>0</v>
      </c>
      <c r="R198" s="225">
        <v>0</v>
      </c>
      <c r="S198" s="225">
        <v>0</v>
      </c>
      <c r="T198" s="224">
        <v>0</v>
      </c>
      <c r="U198" s="222">
        <f t="shared" si="9"/>
        <v>2663.3</v>
      </c>
    </row>
    <row r="199" spans="1:21" s="7" customFormat="1" ht="57" hidden="1" customHeight="1" outlineLevel="1" collapsed="1" x14ac:dyDescent="0.2">
      <c r="A199" s="31"/>
      <c r="B199" s="32"/>
      <c r="C199" s="117" t="s">
        <v>275</v>
      </c>
      <c r="D199" s="102" t="s">
        <v>73</v>
      </c>
      <c r="E199" s="32"/>
      <c r="F199" s="79" t="s">
        <v>11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5">
        <v>0</v>
      </c>
      <c r="M199" s="65">
        <v>0</v>
      </c>
      <c r="N199" s="6">
        <f t="shared" si="8"/>
        <v>0</v>
      </c>
      <c r="O199" s="66">
        <v>0</v>
      </c>
      <c r="P199" s="66">
        <v>0</v>
      </c>
      <c r="Q199" s="6">
        <f>250000-250000</f>
        <v>0</v>
      </c>
      <c r="R199" s="65">
        <v>0</v>
      </c>
      <c r="S199" s="65">
        <v>0</v>
      </c>
      <c r="T199" s="66">
        <v>0</v>
      </c>
      <c r="U199" s="6">
        <f t="shared" si="9"/>
        <v>0</v>
      </c>
    </row>
    <row r="200" spans="1:21" s="7" customFormat="1" ht="43.5" hidden="1" customHeight="1" outlineLevel="1" x14ac:dyDescent="0.2">
      <c r="A200" s="76"/>
      <c r="B200" s="77"/>
      <c r="C200" s="30" t="s">
        <v>244</v>
      </c>
      <c r="D200" s="102" t="s">
        <v>73</v>
      </c>
      <c r="E200" s="77"/>
      <c r="F200" s="79" t="s">
        <v>11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5">
        <v>0</v>
      </c>
      <c r="M200" s="65">
        <v>0</v>
      </c>
      <c r="N200" s="6">
        <f t="shared" si="8"/>
        <v>0</v>
      </c>
      <c r="O200" s="66">
        <v>0</v>
      </c>
      <c r="P200" s="6">
        <v>100</v>
      </c>
      <c r="Q200" s="66">
        <v>0</v>
      </c>
      <c r="R200" s="65">
        <v>0</v>
      </c>
      <c r="S200" s="65">
        <v>0</v>
      </c>
      <c r="T200" s="66">
        <v>0</v>
      </c>
      <c r="U200" s="6">
        <f t="shared" si="9"/>
        <v>100</v>
      </c>
    </row>
    <row r="201" spans="1:21" s="7" customFormat="1" ht="42.75" hidden="1" customHeight="1" outlineLevel="1" x14ac:dyDescent="0.2">
      <c r="A201" s="33"/>
      <c r="B201" s="32"/>
      <c r="C201" s="116" t="s">
        <v>154</v>
      </c>
      <c r="D201" s="103" t="s">
        <v>73</v>
      </c>
      <c r="E201" s="32"/>
      <c r="F201" s="79" t="s">
        <v>11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5">
        <v>0</v>
      </c>
      <c r="M201" s="65">
        <v>0</v>
      </c>
      <c r="N201" s="6">
        <f t="shared" si="8"/>
        <v>0</v>
      </c>
      <c r="O201" s="66">
        <v>0</v>
      </c>
      <c r="P201" s="6">
        <v>1950.5</v>
      </c>
      <c r="Q201" s="66">
        <v>0</v>
      </c>
      <c r="R201" s="65">
        <v>0</v>
      </c>
      <c r="S201" s="65">
        <v>0</v>
      </c>
      <c r="T201" s="66">
        <v>0</v>
      </c>
      <c r="U201" s="6">
        <f t="shared" si="9"/>
        <v>1950.5</v>
      </c>
    </row>
    <row r="202" spans="1:21" s="7" customFormat="1" ht="68.25" hidden="1" customHeight="1" outlineLevel="1" collapsed="1" x14ac:dyDescent="0.2">
      <c r="A202" s="78"/>
      <c r="B202" s="77"/>
      <c r="C202" s="117" t="s">
        <v>261</v>
      </c>
      <c r="D202" s="102" t="s">
        <v>73</v>
      </c>
      <c r="E202" s="77"/>
      <c r="F202" s="79" t="s">
        <v>11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5">
        <v>0</v>
      </c>
      <c r="M202" s="65">
        <v>0</v>
      </c>
      <c r="N202" s="6">
        <f t="shared" si="8"/>
        <v>0</v>
      </c>
      <c r="O202" s="66">
        <v>0</v>
      </c>
      <c r="P202" s="6">
        <v>0</v>
      </c>
      <c r="Q202" s="66">
        <f>120-120</f>
        <v>0</v>
      </c>
      <c r="R202" s="65">
        <v>0</v>
      </c>
      <c r="S202" s="65">
        <v>0</v>
      </c>
      <c r="T202" s="66">
        <v>0</v>
      </c>
      <c r="U202" s="6">
        <f t="shared" si="9"/>
        <v>0</v>
      </c>
    </row>
    <row r="203" spans="1:21" s="7" customFormat="1" ht="67.5" hidden="1" customHeight="1" outlineLevel="1" x14ac:dyDescent="0.2">
      <c r="A203" s="33"/>
      <c r="B203" s="32"/>
      <c r="C203" s="117" t="s">
        <v>203</v>
      </c>
      <c r="D203" s="102" t="s">
        <v>73</v>
      </c>
      <c r="E203" s="32"/>
      <c r="F203" s="79" t="s">
        <v>11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5">
        <v>0</v>
      </c>
      <c r="M203" s="65">
        <v>0</v>
      </c>
      <c r="N203" s="6">
        <f t="shared" si="8"/>
        <v>0</v>
      </c>
      <c r="O203" s="66">
        <v>0</v>
      </c>
      <c r="P203" s="6">
        <v>0</v>
      </c>
      <c r="Q203" s="66">
        <f>2280-2280</f>
        <v>0</v>
      </c>
      <c r="R203" s="65">
        <v>0</v>
      </c>
      <c r="S203" s="65">
        <v>0</v>
      </c>
      <c r="T203" s="66">
        <v>0</v>
      </c>
      <c r="U203" s="6">
        <f t="shared" si="9"/>
        <v>0</v>
      </c>
    </row>
    <row r="204" spans="1:21" s="7" customFormat="1" ht="77.25" hidden="1" customHeight="1" outlineLevel="1" x14ac:dyDescent="0.2">
      <c r="A204" s="33"/>
      <c r="B204" s="32"/>
      <c r="C204" s="117" t="s">
        <v>247</v>
      </c>
      <c r="D204" s="102" t="s">
        <v>73</v>
      </c>
      <c r="E204" s="32"/>
      <c r="F204" s="79" t="s">
        <v>11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5">
        <v>0</v>
      </c>
      <c r="M204" s="65">
        <v>0</v>
      </c>
      <c r="N204" s="6">
        <f t="shared" si="8"/>
        <v>0</v>
      </c>
      <c r="O204" s="66">
        <v>0</v>
      </c>
      <c r="P204" s="6">
        <v>0</v>
      </c>
      <c r="Q204" s="66">
        <f>120-120</f>
        <v>0</v>
      </c>
      <c r="R204" s="65">
        <v>0</v>
      </c>
      <c r="S204" s="65">
        <v>0</v>
      </c>
      <c r="T204" s="66">
        <v>0</v>
      </c>
      <c r="U204" s="6">
        <f t="shared" si="9"/>
        <v>0</v>
      </c>
    </row>
    <row r="205" spans="1:21" s="7" customFormat="1" ht="72.75" hidden="1" customHeight="1" outlineLevel="1" x14ac:dyDescent="0.2">
      <c r="A205" s="33"/>
      <c r="B205" s="32"/>
      <c r="C205" s="117" t="s">
        <v>214</v>
      </c>
      <c r="D205" s="102" t="s">
        <v>73</v>
      </c>
      <c r="E205" s="32"/>
      <c r="F205" s="79" t="s">
        <v>11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5">
        <v>0</v>
      </c>
      <c r="M205" s="65">
        <v>0</v>
      </c>
      <c r="N205" s="6">
        <f t="shared" si="8"/>
        <v>0</v>
      </c>
      <c r="O205" s="66">
        <v>0</v>
      </c>
      <c r="P205" s="6">
        <v>0</v>
      </c>
      <c r="Q205" s="66">
        <f>2380-2380</f>
        <v>0</v>
      </c>
      <c r="R205" s="65">
        <v>0</v>
      </c>
      <c r="S205" s="65">
        <v>0</v>
      </c>
      <c r="T205" s="66">
        <v>0</v>
      </c>
      <c r="U205" s="6">
        <f t="shared" si="9"/>
        <v>0</v>
      </c>
    </row>
    <row r="206" spans="1:21" s="7" customFormat="1" ht="56.25" hidden="1" customHeight="1" outlineLevel="1" x14ac:dyDescent="0.2">
      <c r="A206" s="33"/>
      <c r="B206" s="32"/>
      <c r="C206" s="117" t="s">
        <v>240</v>
      </c>
      <c r="D206" s="102" t="s">
        <v>73</v>
      </c>
      <c r="E206" s="32"/>
      <c r="F206" s="79" t="s">
        <v>11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5">
        <v>0</v>
      </c>
      <c r="M206" s="65">
        <v>0</v>
      </c>
      <c r="N206" s="6">
        <f t="shared" si="8"/>
        <v>0</v>
      </c>
      <c r="O206" s="66">
        <v>0</v>
      </c>
      <c r="P206" s="65">
        <v>0</v>
      </c>
      <c r="Q206" s="66">
        <v>0</v>
      </c>
      <c r="R206" s="65">
        <f>370-370</f>
        <v>0</v>
      </c>
      <c r="S206" s="65">
        <v>0</v>
      </c>
      <c r="T206" s="66">
        <v>0</v>
      </c>
      <c r="U206" s="6">
        <f t="shared" si="9"/>
        <v>0</v>
      </c>
    </row>
    <row r="207" spans="1:21" s="7" customFormat="1" ht="71.25" hidden="1" customHeight="1" outlineLevel="1" x14ac:dyDescent="0.2">
      <c r="A207" s="33"/>
      <c r="B207" s="32"/>
      <c r="C207" s="30" t="s">
        <v>246</v>
      </c>
      <c r="D207" s="102" t="s">
        <v>73</v>
      </c>
      <c r="E207" s="32"/>
      <c r="F207" s="79" t="s">
        <v>11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5">
        <v>0</v>
      </c>
      <c r="M207" s="65">
        <v>0</v>
      </c>
      <c r="N207" s="6">
        <f t="shared" si="8"/>
        <v>0</v>
      </c>
      <c r="O207" s="66">
        <v>0</v>
      </c>
      <c r="P207" s="65">
        <v>0</v>
      </c>
      <c r="Q207" s="66">
        <v>0</v>
      </c>
      <c r="R207" s="6">
        <f>10622.3-10622.3</f>
        <v>0</v>
      </c>
      <c r="S207" s="65">
        <v>0</v>
      </c>
      <c r="T207" s="66">
        <v>0</v>
      </c>
      <c r="U207" s="6">
        <f t="shared" si="9"/>
        <v>0</v>
      </c>
    </row>
    <row r="208" spans="1:21" s="7" customFormat="1" ht="61.5" hidden="1" customHeight="1" outlineLevel="1" x14ac:dyDescent="0.2">
      <c r="A208" s="33"/>
      <c r="B208" s="32"/>
      <c r="C208" s="116" t="s">
        <v>236</v>
      </c>
      <c r="D208" s="103" t="s">
        <v>73</v>
      </c>
      <c r="E208" s="32"/>
      <c r="F208" s="79" t="s">
        <v>11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5">
        <v>0</v>
      </c>
      <c r="M208" s="65">
        <v>0</v>
      </c>
      <c r="N208" s="6">
        <f t="shared" ref="N208:N247" si="10">G208+H208+I208+J208+K208+L208+M208</f>
        <v>0</v>
      </c>
      <c r="O208" s="66">
        <v>0</v>
      </c>
      <c r="P208" s="65">
        <v>0</v>
      </c>
      <c r="Q208" s="66">
        <v>0</v>
      </c>
      <c r="R208" s="65">
        <v>0</v>
      </c>
      <c r="S208" s="65">
        <f>265-265</f>
        <v>0</v>
      </c>
      <c r="T208" s="66">
        <v>0</v>
      </c>
      <c r="U208" s="6">
        <f t="shared" si="9"/>
        <v>0</v>
      </c>
    </row>
    <row r="209" spans="1:21" s="7" customFormat="1" ht="55.5" hidden="1" customHeight="1" outlineLevel="1" x14ac:dyDescent="0.2">
      <c r="A209" s="33"/>
      <c r="B209" s="32"/>
      <c r="C209" s="117" t="s">
        <v>237</v>
      </c>
      <c r="D209" s="102" t="s">
        <v>73</v>
      </c>
      <c r="E209" s="32"/>
      <c r="F209" s="79" t="s">
        <v>11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5">
        <v>0</v>
      </c>
      <c r="M209" s="65">
        <v>0</v>
      </c>
      <c r="N209" s="6">
        <f t="shared" si="10"/>
        <v>0</v>
      </c>
      <c r="O209" s="66">
        <v>0</v>
      </c>
      <c r="P209" s="65">
        <v>0</v>
      </c>
      <c r="Q209" s="66">
        <v>0</v>
      </c>
      <c r="R209" s="65">
        <v>0</v>
      </c>
      <c r="S209" s="65">
        <v>0</v>
      </c>
      <c r="T209" s="65">
        <v>770</v>
      </c>
      <c r="U209" s="6">
        <f t="shared" si="9"/>
        <v>770</v>
      </c>
    </row>
    <row r="210" spans="1:21" s="7" customFormat="1" ht="44.25" hidden="1" customHeight="1" outlineLevel="1" collapsed="1" x14ac:dyDescent="0.2">
      <c r="A210" s="33"/>
      <c r="B210" s="32"/>
      <c r="C210" s="117" t="s">
        <v>238</v>
      </c>
      <c r="D210" s="102" t="s">
        <v>73</v>
      </c>
      <c r="E210" s="32"/>
      <c r="F210" s="79" t="s">
        <v>11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5">
        <v>0</v>
      </c>
      <c r="M210" s="65">
        <v>0</v>
      </c>
      <c r="N210" s="6">
        <f t="shared" si="10"/>
        <v>0</v>
      </c>
      <c r="O210" s="66">
        <v>0</v>
      </c>
      <c r="P210" s="65">
        <v>0</v>
      </c>
      <c r="Q210" s="66">
        <v>0</v>
      </c>
      <c r="R210" s="66">
        <v>0</v>
      </c>
      <c r="S210" s="6">
        <f>845-845</f>
        <v>0</v>
      </c>
      <c r="T210" s="66">
        <v>0</v>
      </c>
      <c r="U210" s="6">
        <f t="shared" si="9"/>
        <v>0</v>
      </c>
    </row>
    <row r="211" spans="1:21" s="7" customFormat="1" ht="41.25" hidden="1" customHeight="1" outlineLevel="1" x14ac:dyDescent="0.2">
      <c r="A211" s="33"/>
      <c r="B211" s="32"/>
      <c r="C211" s="117" t="s">
        <v>276</v>
      </c>
      <c r="D211" s="102" t="s">
        <v>73</v>
      </c>
      <c r="E211" s="32"/>
      <c r="F211" s="79" t="s">
        <v>11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5">
        <v>0</v>
      </c>
      <c r="M211" s="65">
        <v>0</v>
      </c>
      <c r="N211" s="6">
        <f t="shared" si="10"/>
        <v>0</v>
      </c>
      <c r="O211" s="66">
        <v>0</v>
      </c>
      <c r="P211" s="65">
        <v>0</v>
      </c>
      <c r="Q211" s="66">
        <v>0</v>
      </c>
      <c r="R211" s="66">
        <v>0</v>
      </c>
      <c r="S211" s="6">
        <f>1340-1340</f>
        <v>0</v>
      </c>
      <c r="T211" s="66">
        <v>0</v>
      </c>
      <c r="U211" s="6">
        <f t="shared" si="9"/>
        <v>0</v>
      </c>
    </row>
    <row r="212" spans="1:21" s="7" customFormat="1" ht="41.25" hidden="1" customHeight="1" outlineLevel="1" x14ac:dyDescent="0.2">
      <c r="A212" s="33"/>
      <c r="B212" s="32"/>
      <c r="C212" s="117" t="s">
        <v>204</v>
      </c>
      <c r="D212" s="102" t="s">
        <v>73</v>
      </c>
      <c r="E212" s="32"/>
      <c r="F212" s="79" t="s">
        <v>11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5">
        <v>0</v>
      </c>
      <c r="M212" s="65">
        <v>0</v>
      </c>
      <c r="N212" s="6">
        <f t="shared" si="10"/>
        <v>0</v>
      </c>
      <c r="O212" s="66">
        <v>0</v>
      </c>
      <c r="P212" s="65">
        <v>0</v>
      </c>
      <c r="Q212" s="66">
        <v>0</v>
      </c>
      <c r="R212" s="66">
        <v>0</v>
      </c>
      <c r="S212" s="66">
        <v>0</v>
      </c>
      <c r="T212" s="6">
        <v>890</v>
      </c>
      <c r="U212" s="6">
        <f t="shared" ref="U212:U220" si="11">SUM(G212:T212)-N212</f>
        <v>890</v>
      </c>
    </row>
    <row r="213" spans="1:21" s="7" customFormat="1" ht="46.5" hidden="1" customHeight="1" outlineLevel="1" x14ac:dyDescent="0.2">
      <c r="A213" s="33"/>
      <c r="B213" s="32"/>
      <c r="C213" s="117" t="s">
        <v>205</v>
      </c>
      <c r="D213" s="102" t="s">
        <v>73</v>
      </c>
      <c r="E213" s="32"/>
      <c r="F213" s="79" t="s">
        <v>11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5">
        <v>0</v>
      </c>
      <c r="M213" s="65">
        <v>0</v>
      </c>
      <c r="N213" s="6">
        <f t="shared" si="10"/>
        <v>0</v>
      </c>
      <c r="O213" s="66">
        <v>0</v>
      </c>
      <c r="P213" s="65">
        <v>0</v>
      </c>
      <c r="Q213" s="66">
        <v>0</v>
      </c>
      <c r="R213" s="66">
        <v>0</v>
      </c>
      <c r="S213" s="66">
        <v>0</v>
      </c>
      <c r="T213" s="6">
        <v>2460</v>
      </c>
      <c r="U213" s="6">
        <f t="shared" si="11"/>
        <v>2460</v>
      </c>
    </row>
    <row r="214" spans="1:21" s="7" customFormat="1" ht="67.5" hidden="1" customHeight="1" outlineLevel="1" collapsed="1" x14ac:dyDescent="0.2">
      <c r="A214" s="33"/>
      <c r="B214" s="32"/>
      <c r="C214" s="117" t="s">
        <v>277</v>
      </c>
      <c r="D214" s="102" t="s">
        <v>73</v>
      </c>
      <c r="E214" s="32"/>
      <c r="F214" s="79" t="s">
        <v>11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5">
        <v>0</v>
      </c>
      <c r="M214" s="65">
        <v>0</v>
      </c>
      <c r="N214" s="6">
        <f t="shared" si="10"/>
        <v>0</v>
      </c>
      <c r="O214" s="66">
        <v>0</v>
      </c>
      <c r="P214" s="65">
        <v>0</v>
      </c>
      <c r="Q214" s="66">
        <v>0</v>
      </c>
      <c r="R214" s="6">
        <f>930-930</f>
        <v>0</v>
      </c>
      <c r="S214" s="65">
        <v>0</v>
      </c>
      <c r="T214" s="66">
        <v>0</v>
      </c>
      <c r="U214" s="6">
        <f t="shared" si="11"/>
        <v>0</v>
      </c>
    </row>
    <row r="215" spans="1:21" s="7" customFormat="1" ht="65.25" hidden="1" customHeight="1" outlineLevel="1" x14ac:dyDescent="0.2">
      <c r="A215" s="33"/>
      <c r="B215" s="32"/>
      <c r="C215" s="117" t="s">
        <v>239</v>
      </c>
      <c r="D215" s="102" t="s">
        <v>73</v>
      </c>
      <c r="E215" s="32"/>
      <c r="F215" s="79" t="s">
        <v>11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5">
        <v>0</v>
      </c>
      <c r="M215" s="65">
        <v>0</v>
      </c>
      <c r="N215" s="6">
        <f t="shared" si="10"/>
        <v>0</v>
      </c>
      <c r="O215" s="66">
        <v>0</v>
      </c>
      <c r="P215" s="65">
        <v>0</v>
      </c>
      <c r="Q215" s="66">
        <v>0</v>
      </c>
      <c r="R215" s="66">
        <v>0</v>
      </c>
      <c r="S215" s="6">
        <f>9500-9500</f>
        <v>0</v>
      </c>
      <c r="T215" s="66">
        <v>0</v>
      </c>
      <c r="U215" s="6">
        <f t="shared" si="11"/>
        <v>0</v>
      </c>
    </row>
    <row r="216" spans="1:21" s="7" customFormat="1" ht="69.75" hidden="1" customHeight="1" outlineLevel="1" x14ac:dyDescent="0.2">
      <c r="A216" s="31"/>
      <c r="B216" s="32"/>
      <c r="C216" s="30" t="s">
        <v>278</v>
      </c>
      <c r="D216" s="102" t="s">
        <v>73</v>
      </c>
      <c r="E216" s="32"/>
      <c r="F216" s="79" t="s">
        <v>11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5">
        <v>0</v>
      </c>
      <c r="M216" s="65">
        <v>0</v>
      </c>
      <c r="N216" s="6">
        <f t="shared" si="10"/>
        <v>0</v>
      </c>
      <c r="O216" s="66">
        <v>0</v>
      </c>
      <c r="P216" s="65">
        <v>0</v>
      </c>
      <c r="Q216" s="66">
        <v>0</v>
      </c>
      <c r="R216" s="66">
        <v>0</v>
      </c>
      <c r="S216" s="6">
        <f>980-980</f>
        <v>0</v>
      </c>
      <c r="T216" s="66">
        <v>0</v>
      </c>
      <c r="U216" s="6">
        <f t="shared" si="11"/>
        <v>0</v>
      </c>
    </row>
    <row r="217" spans="1:21" s="7" customFormat="1" ht="12" hidden="1" customHeight="1" outlineLevel="1" x14ac:dyDescent="0.2">
      <c r="A217" s="76"/>
      <c r="B217" s="77"/>
      <c r="C217" s="116" t="s">
        <v>206</v>
      </c>
      <c r="D217" s="103" t="s">
        <v>73</v>
      </c>
      <c r="E217" s="77"/>
      <c r="F217" s="79" t="s">
        <v>11</v>
      </c>
      <c r="G217" s="66">
        <v>0</v>
      </c>
      <c r="H217" s="66">
        <v>0</v>
      </c>
      <c r="I217" s="66">
        <v>0</v>
      </c>
      <c r="J217" s="66">
        <v>0</v>
      </c>
      <c r="K217" s="66">
        <v>0</v>
      </c>
      <c r="L217" s="65">
        <v>0</v>
      </c>
      <c r="M217" s="65">
        <v>0</v>
      </c>
      <c r="N217" s="6">
        <f t="shared" si="10"/>
        <v>0</v>
      </c>
      <c r="O217" s="66">
        <v>0</v>
      </c>
      <c r="P217" s="65">
        <v>0</v>
      </c>
      <c r="Q217" s="66">
        <v>0</v>
      </c>
      <c r="R217" s="65">
        <v>0</v>
      </c>
      <c r="S217" s="66">
        <v>0</v>
      </c>
      <c r="T217" s="6">
        <v>10050</v>
      </c>
      <c r="U217" s="6">
        <f t="shared" si="11"/>
        <v>10050</v>
      </c>
    </row>
    <row r="218" spans="1:21" s="7" customFormat="1" ht="13.5" hidden="1" customHeight="1" outlineLevel="1" x14ac:dyDescent="0.2">
      <c r="A218" s="33"/>
      <c r="B218" s="32"/>
      <c r="C218" s="117" t="s">
        <v>155</v>
      </c>
      <c r="D218" s="102" t="s">
        <v>73</v>
      </c>
      <c r="E218" s="32"/>
      <c r="F218" s="79" t="s">
        <v>11</v>
      </c>
      <c r="G218" s="66">
        <v>0</v>
      </c>
      <c r="H218" s="66">
        <v>0</v>
      </c>
      <c r="I218" s="66">
        <v>0</v>
      </c>
      <c r="J218" s="66">
        <v>0</v>
      </c>
      <c r="K218" s="66">
        <v>0</v>
      </c>
      <c r="L218" s="65">
        <v>0</v>
      </c>
      <c r="M218" s="65">
        <v>0</v>
      </c>
      <c r="N218" s="6">
        <f t="shared" si="10"/>
        <v>0</v>
      </c>
      <c r="O218" s="66">
        <v>0</v>
      </c>
      <c r="P218" s="6">
        <v>619</v>
      </c>
      <c r="Q218" s="66">
        <v>0</v>
      </c>
      <c r="R218" s="66">
        <v>0</v>
      </c>
      <c r="S218" s="65">
        <v>0</v>
      </c>
      <c r="T218" s="65">
        <v>0</v>
      </c>
      <c r="U218" s="6">
        <f t="shared" si="11"/>
        <v>619</v>
      </c>
    </row>
    <row r="219" spans="1:21" s="7" customFormat="1" ht="22.5" hidden="1" customHeight="1" outlineLevel="1" x14ac:dyDescent="0.2">
      <c r="A219" s="33"/>
      <c r="B219" s="32"/>
      <c r="C219" s="117" t="s">
        <v>251</v>
      </c>
      <c r="D219" s="102" t="s">
        <v>250</v>
      </c>
      <c r="E219" s="77"/>
      <c r="F219" s="79" t="s">
        <v>11</v>
      </c>
      <c r="G219" s="66"/>
      <c r="H219" s="66"/>
      <c r="I219" s="66"/>
      <c r="J219" s="66"/>
      <c r="K219" s="66"/>
      <c r="L219" s="65"/>
      <c r="M219" s="65"/>
      <c r="N219" s="6">
        <v>0</v>
      </c>
      <c r="O219" s="66">
        <v>0</v>
      </c>
      <c r="P219" s="6">
        <v>0</v>
      </c>
      <c r="Q219" s="66">
        <v>13300</v>
      </c>
      <c r="R219" s="66">
        <v>12700</v>
      </c>
      <c r="S219" s="65">
        <v>8958</v>
      </c>
      <c r="T219" s="65">
        <v>28017</v>
      </c>
      <c r="U219" s="6">
        <f t="shared" ref="U219" si="12">SUM(G219:T219)-N219</f>
        <v>62975</v>
      </c>
    </row>
    <row r="220" spans="1:21" s="91" customFormat="1" ht="197.25" customHeight="1" collapsed="1" x14ac:dyDescent="0.2">
      <c r="A220" s="247">
        <v>2</v>
      </c>
      <c r="B220" s="248" t="s">
        <v>76</v>
      </c>
      <c r="C220" s="249" t="s">
        <v>285</v>
      </c>
      <c r="D220" s="250" t="s">
        <v>250</v>
      </c>
      <c r="E220" s="251" t="s">
        <v>286</v>
      </c>
      <c r="F220" s="252" t="s">
        <v>11</v>
      </c>
      <c r="G220" s="66"/>
      <c r="H220" s="66"/>
      <c r="I220" s="66"/>
      <c r="J220" s="66"/>
      <c r="K220" s="66"/>
      <c r="L220" s="65"/>
      <c r="M220" s="65"/>
      <c r="N220" s="6">
        <v>0</v>
      </c>
      <c r="O220" s="66">
        <v>0</v>
      </c>
      <c r="P220" s="6">
        <v>0</v>
      </c>
      <c r="Q220" s="66">
        <v>1700</v>
      </c>
      <c r="R220" s="66">
        <v>0</v>
      </c>
      <c r="S220" s="65">
        <v>0</v>
      </c>
      <c r="T220" s="65">
        <v>0</v>
      </c>
      <c r="U220" s="6">
        <f t="shared" si="11"/>
        <v>1700</v>
      </c>
    </row>
    <row r="221" spans="1:21" ht="39.75" customHeight="1" x14ac:dyDescent="0.2">
      <c r="A221" s="449" t="s">
        <v>75</v>
      </c>
      <c r="B221" s="483"/>
      <c r="C221" s="466"/>
      <c r="D221" s="467"/>
      <c r="E221" s="467"/>
      <c r="F221" s="253" t="s">
        <v>101</v>
      </c>
      <c r="G221" s="67">
        <f>SUM(G83:G172)</f>
        <v>138423.32</v>
      </c>
      <c r="H221" s="67">
        <f>SUM(H83:H172)</f>
        <v>204758.1</v>
      </c>
      <c r="I221" s="67">
        <f>SUM(I83:I172)</f>
        <v>220709</v>
      </c>
      <c r="J221" s="67">
        <f>SUM(J83:J218)</f>
        <v>313192.90000000002</v>
      </c>
      <c r="K221" s="67">
        <f>SUM(K83:K218)</f>
        <v>421613.6</v>
      </c>
      <c r="L221" s="67">
        <f>SUM(L83:L218)</f>
        <v>1308589.8</v>
      </c>
      <c r="M221" s="67">
        <f>SUM(M83:M218)</f>
        <v>1406025</v>
      </c>
      <c r="N221" s="316">
        <f t="shared" ref="N221:U221" si="13">SUM(N83:N220)</f>
        <v>4013311.72</v>
      </c>
      <c r="O221" s="316">
        <f t="shared" si="13"/>
        <v>1203878.7</v>
      </c>
      <c r="P221" s="316">
        <f t="shared" si="13"/>
        <v>799633.3</v>
      </c>
      <c r="Q221" s="316">
        <f t="shared" si="13"/>
        <v>799828.13</v>
      </c>
      <c r="R221" s="316">
        <f t="shared" si="13"/>
        <v>818080.95000000007</v>
      </c>
      <c r="S221" s="316">
        <f t="shared" si="13"/>
        <v>836939.11</v>
      </c>
      <c r="T221" s="316">
        <f t="shared" si="13"/>
        <v>1102877.1948240912</v>
      </c>
      <c r="U221" s="316">
        <f t="shared" si="13"/>
        <v>9574549.1048240922</v>
      </c>
    </row>
    <row r="222" spans="1:21" ht="52.5" hidden="1" customHeight="1" x14ac:dyDescent="0.2">
      <c r="A222" s="254">
        <v>3</v>
      </c>
      <c r="B222" s="445" t="s">
        <v>156</v>
      </c>
      <c r="C222" s="255" t="s">
        <v>157</v>
      </c>
      <c r="D222" s="256" t="s">
        <v>50</v>
      </c>
      <c r="E222" s="447" t="s">
        <v>158</v>
      </c>
      <c r="F222" s="253" t="s">
        <v>11</v>
      </c>
      <c r="G222" s="38">
        <v>0</v>
      </c>
      <c r="H222" s="38">
        <v>0</v>
      </c>
      <c r="I222" s="38">
        <v>0</v>
      </c>
      <c r="J222" s="38">
        <v>4059.9</v>
      </c>
      <c r="K222" s="38">
        <v>20246.5</v>
      </c>
      <c r="L222" s="38">
        <v>48490</v>
      </c>
      <c r="M222" s="38">
        <v>51250</v>
      </c>
      <c r="N222" s="6">
        <f t="shared" si="10"/>
        <v>124046.39999999999</v>
      </c>
      <c r="O222" s="38">
        <f>53650-10623.9</f>
        <v>43026.1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f>SUM(G222:T222)-N222</f>
        <v>167072.49999999997</v>
      </c>
    </row>
    <row r="223" spans="1:21" ht="44.25" hidden="1" customHeight="1" x14ac:dyDescent="0.2">
      <c r="A223" s="257"/>
      <c r="B223" s="446"/>
      <c r="C223" s="258" t="s">
        <v>159</v>
      </c>
      <c r="D223" s="259" t="s">
        <v>59</v>
      </c>
      <c r="E223" s="448"/>
      <c r="F223" s="260" t="s">
        <v>160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8">
        <v>0</v>
      </c>
      <c r="M223" s="38"/>
      <c r="N223" s="6">
        <f t="shared" si="10"/>
        <v>0</v>
      </c>
      <c r="O223" s="38"/>
      <c r="P223" s="38"/>
      <c r="Q223" s="38"/>
      <c r="R223" s="38"/>
      <c r="S223" s="38"/>
      <c r="T223" s="38"/>
      <c r="U223" s="38" t="e">
        <f>SUM(G223:T223)-#REF!</f>
        <v>#REF!</v>
      </c>
    </row>
    <row r="224" spans="1:21" ht="44.25" hidden="1" customHeight="1" x14ac:dyDescent="0.2">
      <c r="A224" s="257"/>
      <c r="B224" s="446"/>
      <c r="C224" s="261" t="s">
        <v>161</v>
      </c>
      <c r="D224" s="259" t="s">
        <v>59</v>
      </c>
      <c r="E224" s="448"/>
      <c r="F224" s="260" t="s">
        <v>160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8">
        <v>0</v>
      </c>
      <c r="M224" s="38"/>
      <c r="N224" s="6">
        <f t="shared" si="10"/>
        <v>0</v>
      </c>
      <c r="O224" s="38"/>
      <c r="P224" s="38"/>
      <c r="Q224" s="38"/>
      <c r="R224" s="38"/>
      <c r="S224" s="38"/>
      <c r="T224" s="38"/>
      <c r="U224" s="38" t="e">
        <f>SUM(G224:T224)-#REF!</f>
        <v>#REF!</v>
      </c>
    </row>
    <row r="225" spans="1:21" ht="45" hidden="1" customHeight="1" x14ac:dyDescent="0.2">
      <c r="A225" s="262"/>
      <c r="B225" s="446"/>
      <c r="C225" s="263" t="s">
        <v>162</v>
      </c>
      <c r="D225" s="264" t="s">
        <v>50</v>
      </c>
      <c r="E225" s="448"/>
      <c r="F225" s="253" t="s">
        <v>11</v>
      </c>
      <c r="G225" s="40">
        <v>0</v>
      </c>
      <c r="H225" s="40">
        <v>0</v>
      </c>
      <c r="I225" s="40">
        <v>0</v>
      </c>
      <c r="J225" s="40">
        <v>519.4</v>
      </c>
      <c r="K225" s="40">
        <v>1000</v>
      </c>
      <c r="L225" s="40">
        <v>1000</v>
      </c>
      <c r="M225" s="40">
        <v>1070</v>
      </c>
      <c r="N225" s="6">
        <f t="shared" si="10"/>
        <v>3589.4</v>
      </c>
      <c r="O225" s="40">
        <v>1070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 t="shared" ref="U225:U237" si="14">SUM(G225:T225)-N225</f>
        <v>4659.3999999999996</v>
      </c>
    </row>
    <row r="226" spans="1:21" ht="48.75" hidden="1" customHeight="1" x14ac:dyDescent="0.2">
      <c r="A226" s="262"/>
      <c r="B226" s="446"/>
      <c r="C226" s="265" t="s">
        <v>163</v>
      </c>
      <c r="D226" s="266" t="s">
        <v>56</v>
      </c>
      <c r="E226" s="448" t="s">
        <v>164</v>
      </c>
      <c r="F226" s="253" t="s">
        <v>11</v>
      </c>
      <c r="G226" s="40">
        <v>0</v>
      </c>
      <c r="H226" s="40">
        <v>0</v>
      </c>
      <c r="I226" s="40">
        <v>0</v>
      </c>
      <c r="J226" s="40">
        <v>972</v>
      </c>
      <c r="K226" s="40">
        <v>3900</v>
      </c>
      <c r="L226" s="40">
        <v>0</v>
      </c>
      <c r="M226" s="40">
        <v>0</v>
      </c>
      <c r="N226" s="6">
        <f t="shared" si="10"/>
        <v>4872</v>
      </c>
      <c r="O226" s="40">
        <v>0</v>
      </c>
      <c r="P226" s="38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f t="shared" si="14"/>
        <v>4872</v>
      </c>
    </row>
    <row r="227" spans="1:21" ht="45.75" hidden="1" customHeight="1" x14ac:dyDescent="0.2">
      <c r="A227" s="267"/>
      <c r="B227" s="446"/>
      <c r="C227" s="268" t="s">
        <v>165</v>
      </c>
      <c r="D227" s="269">
        <v>2020</v>
      </c>
      <c r="E227" s="448"/>
      <c r="F227" s="253" t="s">
        <v>11</v>
      </c>
      <c r="G227" s="40">
        <v>0</v>
      </c>
      <c r="H227" s="40">
        <v>0</v>
      </c>
      <c r="I227" s="40">
        <v>0</v>
      </c>
      <c r="J227" s="40">
        <v>0</v>
      </c>
      <c r="K227" s="40">
        <v>900</v>
      </c>
      <c r="L227" s="40">
        <v>0</v>
      </c>
      <c r="M227" s="40">
        <v>0</v>
      </c>
      <c r="N227" s="6">
        <f t="shared" si="10"/>
        <v>900</v>
      </c>
      <c r="O227" s="40">
        <v>0</v>
      </c>
      <c r="P227" s="38">
        <v>0</v>
      </c>
      <c r="Q227" s="38">
        <v>0</v>
      </c>
      <c r="R227" s="38">
        <v>0</v>
      </c>
      <c r="S227" s="38">
        <v>0</v>
      </c>
      <c r="T227" s="38">
        <v>0</v>
      </c>
      <c r="U227" s="38">
        <f t="shared" si="14"/>
        <v>900</v>
      </c>
    </row>
    <row r="228" spans="1:21" ht="44.25" hidden="1" customHeight="1" x14ac:dyDescent="0.2">
      <c r="A228" s="267"/>
      <c r="B228" s="446"/>
      <c r="C228" s="263" t="s">
        <v>166</v>
      </c>
      <c r="D228" s="270" t="s">
        <v>90</v>
      </c>
      <c r="E228" s="267"/>
      <c r="F228" s="253" t="s">
        <v>11</v>
      </c>
      <c r="G228" s="40">
        <v>0</v>
      </c>
      <c r="H228" s="40">
        <v>0</v>
      </c>
      <c r="I228" s="40">
        <v>0</v>
      </c>
      <c r="J228" s="40">
        <v>0</v>
      </c>
      <c r="K228" s="40">
        <v>350</v>
      </c>
      <c r="L228" s="40">
        <v>370</v>
      </c>
      <c r="M228" s="40">
        <v>0</v>
      </c>
      <c r="N228" s="6">
        <f t="shared" si="10"/>
        <v>720</v>
      </c>
      <c r="O228" s="40">
        <v>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si="14"/>
        <v>720</v>
      </c>
    </row>
    <row r="229" spans="1:21" ht="47.25" hidden="1" customHeight="1" x14ac:dyDescent="0.2">
      <c r="A229" s="267"/>
      <c r="B229" s="271"/>
      <c r="C229" s="272" t="s">
        <v>167</v>
      </c>
      <c r="D229" s="266" t="s">
        <v>90</v>
      </c>
      <c r="E229" s="267"/>
      <c r="F229" s="253" t="s">
        <v>11</v>
      </c>
      <c r="G229" s="40">
        <v>0</v>
      </c>
      <c r="H229" s="40">
        <v>0</v>
      </c>
      <c r="I229" s="40">
        <v>0</v>
      </c>
      <c r="J229" s="40">
        <v>0</v>
      </c>
      <c r="K229" s="40">
        <v>1000</v>
      </c>
      <c r="L229" s="40">
        <v>3000</v>
      </c>
      <c r="M229" s="40">
        <v>3000</v>
      </c>
      <c r="N229" s="6">
        <f t="shared" si="10"/>
        <v>7000</v>
      </c>
      <c r="O229" s="40">
        <v>3000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10000</v>
      </c>
    </row>
    <row r="230" spans="1:21" ht="42" hidden="1" customHeight="1" x14ac:dyDescent="0.2">
      <c r="A230" s="262"/>
      <c r="B230" s="273"/>
      <c r="C230" s="274" t="s">
        <v>168</v>
      </c>
      <c r="D230" s="259">
        <v>2020</v>
      </c>
      <c r="E230" s="83"/>
      <c r="F230" s="253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2450</v>
      </c>
      <c r="L230" s="40">
        <v>0</v>
      </c>
      <c r="M230" s="40">
        <v>0</v>
      </c>
      <c r="N230" s="6">
        <f t="shared" si="10"/>
        <v>2450</v>
      </c>
      <c r="O230" s="40">
        <v>0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2450</v>
      </c>
    </row>
    <row r="231" spans="1:21" ht="49.5" hidden="1" customHeight="1" x14ac:dyDescent="0.2">
      <c r="A231" s="262"/>
      <c r="B231" s="273"/>
      <c r="C231" s="274" t="s">
        <v>169</v>
      </c>
      <c r="D231" s="259">
        <v>2020</v>
      </c>
      <c r="E231" s="83"/>
      <c r="F231" s="253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4500</v>
      </c>
      <c r="L231" s="40">
        <v>0</v>
      </c>
      <c r="M231" s="40">
        <v>0</v>
      </c>
      <c r="N231" s="6">
        <f t="shared" si="10"/>
        <v>4500</v>
      </c>
      <c r="O231" s="40"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4500</v>
      </c>
    </row>
    <row r="232" spans="1:21" ht="40.5" hidden="1" customHeight="1" x14ac:dyDescent="0.2">
      <c r="A232" s="262"/>
      <c r="B232" s="275"/>
      <c r="C232" s="276" t="s">
        <v>170</v>
      </c>
      <c r="D232" s="277" t="s">
        <v>90</v>
      </c>
      <c r="E232" s="83"/>
      <c r="F232" s="253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5160</v>
      </c>
      <c r="L232" s="40">
        <v>5000</v>
      </c>
      <c r="M232" s="40">
        <v>0</v>
      </c>
      <c r="N232" s="6">
        <f t="shared" si="10"/>
        <v>10160</v>
      </c>
      <c r="O232" s="40">
        <v>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10160</v>
      </c>
    </row>
    <row r="233" spans="1:21" ht="48" hidden="1" customHeight="1" x14ac:dyDescent="0.2">
      <c r="A233" s="278"/>
      <c r="B233" s="279"/>
      <c r="C233" s="280" t="s">
        <v>171</v>
      </c>
      <c r="D233" s="281" t="s">
        <v>59</v>
      </c>
      <c r="E233" s="83"/>
      <c r="F233" s="253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3150</v>
      </c>
      <c r="M233" s="40">
        <v>3125</v>
      </c>
      <c r="N233" s="6">
        <f t="shared" si="10"/>
        <v>6275</v>
      </c>
      <c r="O233" s="40">
        <v>3125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9400</v>
      </c>
    </row>
    <row r="234" spans="1:21" ht="51.75" hidden="1" customHeight="1" x14ac:dyDescent="0.2">
      <c r="A234" s="278"/>
      <c r="B234" s="282"/>
      <c r="C234" s="265" t="s">
        <v>172</v>
      </c>
      <c r="D234" s="283" t="s">
        <v>59</v>
      </c>
      <c r="E234" s="284"/>
      <c r="F234" s="253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f>5350-5350</f>
        <v>0</v>
      </c>
      <c r="M234" s="40">
        <f>5350-5350</f>
        <v>0</v>
      </c>
      <c r="N234" s="6">
        <f t="shared" si="10"/>
        <v>0</v>
      </c>
      <c r="O234" s="40">
        <f>5350-5350</f>
        <v>0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0</v>
      </c>
    </row>
    <row r="235" spans="1:21" ht="40.5" hidden="1" customHeight="1" x14ac:dyDescent="0.2">
      <c r="A235" s="278"/>
      <c r="B235" s="282"/>
      <c r="C235" s="268" t="s">
        <v>173</v>
      </c>
      <c r="D235" s="269" t="s">
        <v>59</v>
      </c>
      <c r="E235" s="83"/>
      <c r="F235" s="253" t="s">
        <v>11</v>
      </c>
      <c r="G235" s="40">
        <v>0</v>
      </c>
      <c r="H235" s="40">
        <v>0</v>
      </c>
      <c r="I235" s="40">
        <v>0</v>
      </c>
      <c r="J235" s="40">
        <v>0</v>
      </c>
      <c r="K235" s="40">
        <v>0</v>
      </c>
      <c r="L235" s="40">
        <v>6500</v>
      </c>
      <c r="M235" s="40">
        <v>750</v>
      </c>
      <c r="N235" s="6">
        <f t="shared" si="10"/>
        <v>7250</v>
      </c>
      <c r="O235" s="40">
        <v>750</v>
      </c>
      <c r="P235" s="38">
        <v>0</v>
      </c>
      <c r="Q235" s="38">
        <v>0</v>
      </c>
      <c r="R235" s="38">
        <v>0</v>
      </c>
      <c r="S235" s="38">
        <v>0</v>
      </c>
      <c r="T235" s="38">
        <v>0</v>
      </c>
      <c r="U235" s="38">
        <f t="shared" si="14"/>
        <v>8000</v>
      </c>
    </row>
    <row r="236" spans="1:21" ht="84" hidden="1" customHeight="1" x14ac:dyDescent="0.2">
      <c r="A236" s="278"/>
      <c r="B236" s="282"/>
      <c r="C236" s="285" t="s">
        <v>174</v>
      </c>
      <c r="D236" s="253">
        <v>2023</v>
      </c>
      <c r="E236" s="83"/>
      <c r="F236" s="253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0</v>
      </c>
      <c r="M236" s="40">
        <v>0</v>
      </c>
      <c r="N236" s="6">
        <f t="shared" si="10"/>
        <v>0</v>
      </c>
      <c r="O236" s="9">
        <f>10623.9-934.29</f>
        <v>9689.61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 t="shared" si="14"/>
        <v>9689.61</v>
      </c>
    </row>
    <row r="237" spans="1:21" ht="43.5" hidden="1" customHeight="1" x14ac:dyDescent="0.2">
      <c r="A237" s="286"/>
      <c r="B237" s="287"/>
      <c r="C237" s="288" t="s">
        <v>175</v>
      </c>
      <c r="D237" s="289">
        <v>2023</v>
      </c>
      <c r="E237" s="83"/>
      <c r="F237" s="260" t="s">
        <v>11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6">
        <f t="shared" si="10"/>
        <v>0</v>
      </c>
      <c r="O237" s="9">
        <v>934.28800000000001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si="14"/>
        <v>934.28800000000001</v>
      </c>
    </row>
    <row r="238" spans="1:21" ht="41.25" hidden="1" customHeight="1" x14ac:dyDescent="0.2">
      <c r="A238" s="449" t="s">
        <v>75</v>
      </c>
      <c r="B238" s="453"/>
      <c r="C238" s="290"/>
      <c r="D238" s="281"/>
      <c r="E238" s="281"/>
      <c r="F238" s="253" t="s">
        <v>11</v>
      </c>
      <c r="G238" s="56">
        <f>SUM(G222:G237)</f>
        <v>0</v>
      </c>
      <c r="H238" s="56">
        <f t="shared" ref="H238:T238" si="15">SUM(H222:H237)</f>
        <v>0</v>
      </c>
      <c r="I238" s="56">
        <f t="shared" si="15"/>
        <v>0</v>
      </c>
      <c r="J238" s="56">
        <f t="shared" si="15"/>
        <v>5551.3</v>
      </c>
      <c r="K238" s="56">
        <f t="shared" si="15"/>
        <v>39506.5</v>
      </c>
      <c r="L238" s="56">
        <f t="shared" si="15"/>
        <v>67510</v>
      </c>
      <c r="M238" s="56">
        <f>SUM(M222:M237)</f>
        <v>59195</v>
      </c>
      <c r="N238" s="56">
        <f>SUM(N222:N237)</f>
        <v>171762.8</v>
      </c>
      <c r="O238" s="56">
        <f t="shared" si="15"/>
        <v>61594.998</v>
      </c>
      <c r="P238" s="56">
        <f t="shared" si="15"/>
        <v>0</v>
      </c>
      <c r="Q238" s="56">
        <f t="shared" si="15"/>
        <v>0</v>
      </c>
      <c r="R238" s="56">
        <f t="shared" si="15"/>
        <v>0</v>
      </c>
      <c r="S238" s="56">
        <f t="shared" si="15"/>
        <v>0</v>
      </c>
      <c r="T238" s="56">
        <f t="shared" si="15"/>
        <v>0</v>
      </c>
      <c r="U238" s="56">
        <f>SUM(G238:T238)-N238</f>
        <v>233357.79800000001</v>
      </c>
    </row>
    <row r="239" spans="1:21" ht="84" hidden="1" customHeight="1" x14ac:dyDescent="0.2">
      <c r="A239" s="291">
        <v>4</v>
      </c>
      <c r="B239" s="292" t="s">
        <v>176</v>
      </c>
      <c r="C239" s="293" t="s">
        <v>207</v>
      </c>
      <c r="D239" s="294">
        <v>2020</v>
      </c>
      <c r="E239" s="295" t="s">
        <v>177</v>
      </c>
      <c r="F239" s="253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167.43</v>
      </c>
      <c r="L239" s="40">
        <v>0</v>
      </c>
      <c r="M239" s="40">
        <v>0</v>
      </c>
      <c r="N239" s="6">
        <f t="shared" si="10"/>
        <v>167.43</v>
      </c>
      <c r="O239" s="40">
        <v>0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>SUM(G239:T239)-N239</f>
        <v>167.43</v>
      </c>
    </row>
    <row r="240" spans="1:21" ht="82.5" hidden="1" customHeight="1" x14ac:dyDescent="0.2">
      <c r="A240" s="296"/>
      <c r="B240" s="273"/>
      <c r="C240" s="274" t="s">
        <v>178</v>
      </c>
      <c r="D240" s="297" t="s">
        <v>14</v>
      </c>
      <c r="E240" s="259" t="s">
        <v>179</v>
      </c>
      <c r="F240" s="253" t="s">
        <v>11</v>
      </c>
      <c r="G240" s="38">
        <v>199.92</v>
      </c>
      <c r="H240" s="38">
        <v>0</v>
      </c>
      <c r="I240" s="38">
        <v>0</v>
      </c>
      <c r="J240" s="38">
        <v>0</v>
      </c>
      <c r="K240" s="38">
        <v>0</v>
      </c>
      <c r="L240" s="38">
        <v>0</v>
      </c>
      <c r="M240" s="38">
        <v>0</v>
      </c>
      <c r="N240" s="6">
        <f t="shared" si="10"/>
        <v>199.92</v>
      </c>
      <c r="O240" s="38">
        <v>0</v>
      </c>
      <c r="P240" s="38">
        <v>0</v>
      </c>
      <c r="Q240" s="38">
        <v>0</v>
      </c>
      <c r="R240" s="38">
        <v>0</v>
      </c>
      <c r="S240" s="38">
        <v>0</v>
      </c>
      <c r="T240" s="38">
        <v>0</v>
      </c>
      <c r="U240" s="38">
        <f t="shared" ref="U240:U242" si="16">SUM(G240:T240)-N240</f>
        <v>199.92</v>
      </c>
    </row>
    <row r="241" spans="1:21" ht="76.5" hidden="1" customHeight="1" x14ac:dyDescent="0.2">
      <c r="A241" s="298"/>
      <c r="B241" s="299"/>
      <c r="C241" s="300" t="s">
        <v>180</v>
      </c>
      <c r="D241" s="297">
        <v>2021</v>
      </c>
      <c r="E241" s="259" t="s">
        <v>177</v>
      </c>
      <c r="F241" s="253" t="s">
        <v>11</v>
      </c>
      <c r="G241" s="40">
        <v>0</v>
      </c>
      <c r="H241" s="40">
        <v>0</v>
      </c>
      <c r="I241" s="40">
        <v>0</v>
      </c>
      <c r="J241" s="40">
        <v>0</v>
      </c>
      <c r="K241" s="40">
        <v>0</v>
      </c>
      <c r="L241" s="40">
        <v>485.1</v>
      </c>
      <c r="M241" s="40">
        <v>0</v>
      </c>
      <c r="N241" s="6">
        <f t="shared" si="10"/>
        <v>485.1</v>
      </c>
      <c r="O241" s="40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f t="shared" si="16"/>
        <v>485.1</v>
      </c>
    </row>
    <row r="242" spans="1:21" ht="77.25" hidden="1" customHeight="1" x14ac:dyDescent="0.2">
      <c r="A242" s="301"/>
      <c r="B242" s="302"/>
      <c r="C242" s="300" t="s">
        <v>181</v>
      </c>
      <c r="D242" s="297">
        <v>2022</v>
      </c>
      <c r="E242" s="259" t="s">
        <v>177</v>
      </c>
      <c r="F242" s="253" t="s">
        <v>11</v>
      </c>
      <c r="G242" s="40">
        <v>0</v>
      </c>
      <c r="H242" s="40">
        <v>0</v>
      </c>
      <c r="I242" s="40">
        <v>0</v>
      </c>
      <c r="J242" s="40">
        <v>0</v>
      </c>
      <c r="K242" s="40">
        <v>0</v>
      </c>
      <c r="L242" s="40">
        <v>0</v>
      </c>
      <c r="M242" s="40">
        <v>488.9</v>
      </c>
      <c r="N242" s="6">
        <f t="shared" si="10"/>
        <v>488.9</v>
      </c>
      <c r="O242" s="40">
        <v>0</v>
      </c>
      <c r="P242" s="38">
        <v>0</v>
      </c>
      <c r="Q242" s="38">
        <v>0</v>
      </c>
      <c r="R242" s="38">
        <v>0</v>
      </c>
      <c r="S242" s="38">
        <v>0</v>
      </c>
      <c r="T242" s="38">
        <v>0</v>
      </c>
      <c r="U242" s="38">
        <f t="shared" si="16"/>
        <v>488.9</v>
      </c>
    </row>
    <row r="243" spans="1:21" ht="40.5" hidden="1" customHeight="1" x14ac:dyDescent="0.2">
      <c r="A243" s="454" t="s">
        <v>75</v>
      </c>
      <c r="B243" s="455"/>
      <c r="C243" s="456"/>
      <c r="D243" s="456"/>
      <c r="E243" s="457"/>
      <c r="F243" s="253" t="s">
        <v>11</v>
      </c>
      <c r="G243" s="56">
        <f>SUM(G239:G242)</f>
        <v>199.92</v>
      </c>
      <c r="H243" s="56">
        <f t="shared" ref="H243:T243" si="17">SUM(H239:H242)</f>
        <v>0</v>
      </c>
      <c r="I243" s="56">
        <f t="shared" si="17"/>
        <v>0</v>
      </c>
      <c r="J243" s="56">
        <f t="shared" si="17"/>
        <v>0</v>
      </c>
      <c r="K243" s="56">
        <f t="shared" si="17"/>
        <v>167.43</v>
      </c>
      <c r="L243" s="56">
        <f t="shared" si="17"/>
        <v>485.1</v>
      </c>
      <c r="M243" s="56">
        <f t="shared" si="17"/>
        <v>488.9</v>
      </c>
      <c r="N243" s="56">
        <f t="shared" si="17"/>
        <v>1341.35</v>
      </c>
      <c r="O243" s="56">
        <f t="shared" si="17"/>
        <v>0</v>
      </c>
      <c r="P243" s="56">
        <f t="shared" si="17"/>
        <v>0</v>
      </c>
      <c r="Q243" s="56">
        <f t="shared" si="17"/>
        <v>0</v>
      </c>
      <c r="R243" s="56">
        <f t="shared" si="17"/>
        <v>0</v>
      </c>
      <c r="S243" s="56">
        <f t="shared" si="17"/>
        <v>0</v>
      </c>
      <c r="T243" s="56">
        <f t="shared" si="17"/>
        <v>0</v>
      </c>
      <c r="U243" s="56">
        <f>SUM(G243:T243)-N243</f>
        <v>1341.35</v>
      </c>
    </row>
    <row r="244" spans="1:21" ht="78.75" hidden="1" customHeight="1" collapsed="1" x14ac:dyDescent="0.2">
      <c r="A244" s="303">
        <v>5</v>
      </c>
      <c r="B244" s="304" t="s">
        <v>182</v>
      </c>
      <c r="C244" s="305" t="s">
        <v>241</v>
      </c>
      <c r="D244" s="306" t="s">
        <v>183</v>
      </c>
      <c r="E244" s="266" t="s">
        <v>177</v>
      </c>
      <c r="F244" s="253" t="s">
        <v>11</v>
      </c>
      <c r="G244" s="38">
        <v>0</v>
      </c>
      <c r="H244" s="38">
        <v>300</v>
      </c>
      <c r="I244" s="38">
        <v>0</v>
      </c>
      <c r="J244" s="38">
        <v>0</v>
      </c>
      <c r="K244" s="38">
        <v>0</v>
      </c>
      <c r="L244" s="38">
        <v>1469</v>
      </c>
      <c r="M244" s="38">
        <v>0</v>
      </c>
      <c r="N244" s="6">
        <f t="shared" si="10"/>
        <v>1769</v>
      </c>
      <c r="O244" s="38">
        <v>0</v>
      </c>
      <c r="P244" s="38">
        <v>0</v>
      </c>
      <c r="Q244" s="38">
        <v>0</v>
      </c>
      <c r="R244" s="38">
        <v>0</v>
      </c>
      <c r="S244" s="38">
        <v>0</v>
      </c>
      <c r="T244" s="38">
        <v>0</v>
      </c>
      <c r="U244" s="38">
        <f>SUM(G244:T244)-N244</f>
        <v>1769</v>
      </c>
    </row>
    <row r="245" spans="1:21" ht="41.25" hidden="1" customHeight="1" x14ac:dyDescent="0.2">
      <c r="A245" s="307"/>
      <c r="B245" s="308"/>
      <c r="C245" s="309" t="s">
        <v>242</v>
      </c>
      <c r="D245" s="310" t="s">
        <v>61</v>
      </c>
      <c r="E245" s="458" t="s">
        <v>177</v>
      </c>
      <c r="F245" s="253" t="s">
        <v>11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8">
        <v>31</v>
      </c>
      <c r="M245" s="38">
        <v>0</v>
      </c>
      <c r="N245" s="6">
        <f t="shared" si="10"/>
        <v>31</v>
      </c>
      <c r="O245" s="38">
        <v>0</v>
      </c>
      <c r="P245" s="38">
        <v>50</v>
      </c>
      <c r="Q245" s="38">
        <v>55</v>
      </c>
      <c r="R245" s="38">
        <v>61</v>
      </c>
      <c r="S245" s="38">
        <v>67</v>
      </c>
      <c r="T245" s="38">
        <v>75</v>
      </c>
      <c r="U245" s="38">
        <f t="shared" ref="U245:U247" si="18">SUM(G245:T245)-N245</f>
        <v>339</v>
      </c>
    </row>
    <row r="246" spans="1:21" ht="52.5" hidden="1" customHeight="1" x14ac:dyDescent="0.2">
      <c r="A246" s="307"/>
      <c r="B246" s="308"/>
      <c r="C246" s="311" t="s">
        <v>184</v>
      </c>
      <c r="D246" s="297" t="s">
        <v>73</v>
      </c>
      <c r="E246" s="459"/>
      <c r="F246" s="253" t="s">
        <v>11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8">
        <v>0</v>
      </c>
      <c r="M246" s="38">
        <v>0</v>
      </c>
      <c r="N246" s="6">
        <f t="shared" si="10"/>
        <v>0</v>
      </c>
      <c r="O246" s="38">
        <v>0</v>
      </c>
      <c r="P246" s="38">
        <v>35</v>
      </c>
      <c r="Q246" s="38">
        <v>40</v>
      </c>
      <c r="R246" s="38">
        <v>45</v>
      </c>
      <c r="S246" s="38">
        <v>50</v>
      </c>
      <c r="T246" s="38">
        <v>55</v>
      </c>
      <c r="U246" s="38">
        <f t="shared" si="18"/>
        <v>225</v>
      </c>
    </row>
    <row r="247" spans="1:21" ht="95.25" hidden="1" customHeight="1" outlineLevel="1" collapsed="1" x14ac:dyDescent="0.2">
      <c r="A247" s="303">
        <v>5</v>
      </c>
      <c r="B247" s="304" t="s">
        <v>182</v>
      </c>
      <c r="C247" s="312" t="s">
        <v>279</v>
      </c>
      <c r="D247" s="260" t="s">
        <v>73</v>
      </c>
      <c r="E247" s="260" t="s">
        <v>249</v>
      </c>
      <c r="F247" s="260" t="s">
        <v>11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8">
        <v>0</v>
      </c>
      <c r="M247" s="38">
        <v>0</v>
      </c>
      <c r="N247" s="6">
        <f t="shared" si="10"/>
        <v>0</v>
      </c>
      <c r="O247" s="38">
        <v>0</v>
      </c>
      <c r="P247" s="38">
        <v>750</v>
      </c>
      <c r="Q247" s="38">
        <v>600</v>
      </c>
      <c r="R247" s="38">
        <v>300</v>
      </c>
      <c r="S247" s="38">
        <v>450</v>
      </c>
      <c r="T247" s="38">
        <v>0</v>
      </c>
      <c r="U247" s="38">
        <f t="shared" si="18"/>
        <v>2100</v>
      </c>
    </row>
    <row r="248" spans="1:21" ht="0.75" hidden="1" customHeight="1" outlineLevel="1" x14ac:dyDescent="0.2">
      <c r="A248" s="477" t="s">
        <v>75</v>
      </c>
      <c r="B248" s="478"/>
      <c r="C248" s="479"/>
      <c r="D248" s="479"/>
      <c r="E248" s="480"/>
      <c r="F248" s="253" t="s">
        <v>11</v>
      </c>
      <c r="G248" s="60">
        <f>G244+G245+G246</f>
        <v>0</v>
      </c>
      <c r="H248" s="60">
        <f t="shared" ref="H248:M248" si="19">H244+H245+H246</f>
        <v>300</v>
      </c>
      <c r="I248" s="60">
        <f t="shared" si="19"/>
        <v>0</v>
      </c>
      <c r="J248" s="60">
        <f t="shared" si="19"/>
        <v>0</v>
      </c>
      <c r="K248" s="60">
        <f t="shared" si="19"/>
        <v>0</v>
      </c>
      <c r="L248" s="60">
        <f t="shared" si="19"/>
        <v>1500</v>
      </c>
      <c r="M248" s="60">
        <f t="shared" si="19"/>
        <v>0</v>
      </c>
      <c r="N248" s="60">
        <f>G248+H248+I248+J248+K248+L248+M248</f>
        <v>1800</v>
      </c>
      <c r="O248" s="60">
        <f>O244+O245+O246+O247</f>
        <v>0</v>
      </c>
      <c r="P248" s="60">
        <f t="shared" ref="P248:T248" si="20">P244+P245+P246+P247</f>
        <v>835</v>
      </c>
      <c r="Q248" s="60">
        <f t="shared" si="20"/>
        <v>695</v>
      </c>
      <c r="R248" s="60">
        <f t="shared" si="20"/>
        <v>406</v>
      </c>
      <c r="S248" s="60">
        <f t="shared" si="20"/>
        <v>567</v>
      </c>
      <c r="T248" s="60">
        <f t="shared" si="20"/>
        <v>130</v>
      </c>
      <c r="U248" s="60">
        <f>SUM(G248:T248)-N248</f>
        <v>4433</v>
      </c>
    </row>
    <row r="249" spans="1:21" ht="69.75" customHeight="1" collapsed="1" x14ac:dyDescent="0.2">
      <c r="A249" s="471" t="s">
        <v>185</v>
      </c>
      <c r="B249" s="481"/>
      <c r="C249" s="314"/>
      <c r="D249" s="315"/>
      <c r="E249" s="315"/>
      <c r="F249" s="253" t="s">
        <v>11</v>
      </c>
      <c r="G249" s="61">
        <f t="shared" ref="G249:T249" si="21">G243+G82+G221+G238+G248</f>
        <v>254461.71999999997</v>
      </c>
      <c r="H249" s="61">
        <f t="shared" si="21"/>
        <v>419562.19999999995</v>
      </c>
      <c r="I249" s="61">
        <f t="shared" si="21"/>
        <v>461134.5</v>
      </c>
      <c r="J249" s="61">
        <f t="shared" si="21"/>
        <v>614158.40000000014</v>
      </c>
      <c r="K249" s="61">
        <f t="shared" si="21"/>
        <v>910764.79</v>
      </c>
      <c r="L249" s="61">
        <f t="shared" si="21"/>
        <v>2006163.4</v>
      </c>
      <c r="M249" s="61">
        <f t="shared" si="21"/>
        <v>2130497.2000000002</v>
      </c>
      <c r="N249" s="61">
        <f t="shared" si="21"/>
        <v>6796742.21</v>
      </c>
      <c r="O249" s="61">
        <f t="shared" si="21"/>
        <v>2120341.898</v>
      </c>
      <c r="P249" s="61">
        <f t="shared" si="21"/>
        <v>1849788.28614</v>
      </c>
      <c r="Q249" s="61">
        <f t="shared" si="21"/>
        <v>1601454.8911099997</v>
      </c>
      <c r="R249" s="61">
        <f t="shared" si="21"/>
        <v>1698390.5643600002</v>
      </c>
      <c r="S249" s="61">
        <f t="shared" si="21"/>
        <v>1783638.2713599999</v>
      </c>
      <c r="T249" s="61">
        <f t="shared" si="21"/>
        <v>2141462.8696440915</v>
      </c>
      <c r="U249" s="61">
        <f>SUM(G249:T249)-N249</f>
        <v>17991818.990614086</v>
      </c>
    </row>
    <row r="250" spans="1:21" ht="48.75" customHeight="1" x14ac:dyDescent="0.2">
      <c r="A250" s="62"/>
      <c r="B250" s="451" t="s">
        <v>248</v>
      </c>
      <c r="C250" s="451"/>
      <c r="D250" s="451"/>
      <c r="E250" s="451"/>
      <c r="F250" s="451"/>
      <c r="G250" s="451"/>
      <c r="H250" s="451"/>
      <c r="I250" s="451"/>
      <c r="J250" s="451"/>
      <c r="K250" s="451"/>
      <c r="L250" s="451"/>
      <c r="M250" s="451"/>
      <c r="N250" s="451"/>
      <c r="O250" s="451"/>
      <c r="P250" s="451"/>
      <c r="Q250" s="451"/>
      <c r="R250" s="451"/>
      <c r="S250" s="451"/>
      <c r="T250" s="451"/>
      <c r="U250" s="451"/>
    </row>
    <row r="251" spans="1:21" ht="63" customHeight="1" x14ac:dyDescent="0.25">
      <c r="B251" s="63" t="s">
        <v>101</v>
      </c>
      <c r="D251" s="63"/>
      <c r="E251" s="63"/>
    </row>
    <row r="252" spans="1:21" s="317" customFormat="1" ht="31.5" x14ac:dyDescent="0.45">
      <c r="B252" s="452" t="s">
        <v>191</v>
      </c>
      <c r="C252" s="452"/>
      <c r="D252" s="452"/>
      <c r="E252" s="452"/>
      <c r="F252" s="452"/>
      <c r="G252" s="452"/>
      <c r="H252" s="452"/>
      <c r="I252" s="452"/>
      <c r="J252" s="452"/>
      <c r="K252" s="452"/>
      <c r="L252" s="318"/>
      <c r="M252" s="318"/>
      <c r="N252" s="319" t="s">
        <v>192</v>
      </c>
      <c r="O252" s="318"/>
      <c r="P252" s="318"/>
    </row>
    <row r="253" spans="1:21" s="7" customFormat="1" x14ac:dyDescent="0.2">
      <c r="C253" s="64"/>
    </row>
    <row r="254" spans="1:21" x14ac:dyDescent="0.2">
      <c r="Q254" s="218">
        <f>Q82-'додаток сесія_24_25листопад'!Q80</f>
        <v>2980.4399999999441</v>
      </c>
      <c r="R254" s="218">
        <f>R82-'додаток сесія_24_25листопад'!R80</f>
        <v>0</v>
      </c>
      <c r="S254" s="218">
        <f>S82-'додаток сесія_24_25листопад'!S80</f>
        <v>0</v>
      </c>
      <c r="T254" s="218">
        <f>T82-'додаток сесія_24_25листопад'!T80</f>
        <v>0</v>
      </c>
      <c r="U254" s="218">
        <f>U82-'додаток сесія_24_25листопад'!U80</f>
        <v>2980.4400000004098</v>
      </c>
    </row>
    <row r="255" spans="1:21" x14ac:dyDescent="0.2">
      <c r="Q255" s="218">
        <f>Q249-'додаток сесія_24_25листопад'!Q246</f>
        <v>4680.4399999999441</v>
      </c>
      <c r="R255" s="218">
        <f>R249-'додаток сесія_24_25листопад'!R246</f>
        <v>0</v>
      </c>
      <c r="S255" s="218">
        <f>S249-'додаток сесія_24_25листопад'!S246</f>
        <v>0</v>
      </c>
      <c r="T255" s="218">
        <f>T249-'додаток сесія_24_25листопад'!T246</f>
        <v>0</v>
      </c>
      <c r="U255" s="218">
        <f>U249-'додаток сесія_24_25листопад'!U246</f>
        <v>4680.4400000013411</v>
      </c>
    </row>
    <row r="256" spans="1:21" x14ac:dyDescent="0.2">
      <c r="Q256" s="218">
        <f>Q255-Q254</f>
        <v>1700</v>
      </c>
      <c r="R256" s="218">
        <f t="shared" ref="R256:U256" si="22">R255-R254</f>
        <v>0</v>
      </c>
      <c r="S256" s="218">
        <f t="shared" si="22"/>
        <v>0</v>
      </c>
      <c r="T256" s="218">
        <f t="shared" si="22"/>
        <v>0</v>
      </c>
      <c r="U256" s="218">
        <f t="shared" si="22"/>
        <v>1700.0000000009313</v>
      </c>
    </row>
    <row r="257" spans="17:21" x14ac:dyDescent="0.2">
      <c r="Q257" s="218">
        <f>Q249-'додаток сесія_24_25табло'!Q246</f>
        <v>1700</v>
      </c>
      <c r="R257" s="218">
        <f>R249-'додаток сесія_24_25табло'!R246</f>
        <v>0</v>
      </c>
      <c r="S257" s="218">
        <f>S249-'додаток сесія_24_25табло'!S246</f>
        <v>0</v>
      </c>
      <c r="T257" s="218">
        <f>T249-'додаток сесія_24_25табло'!T246</f>
        <v>0</v>
      </c>
      <c r="U257" s="218">
        <f>U249-'додаток сесія_24_25табло'!U246</f>
        <v>1700</v>
      </c>
    </row>
  </sheetData>
  <sheetProtection selectLockedCells="1" selectUnlockedCells="1"/>
  <mergeCells count="48">
    <mergeCell ref="I11:I12"/>
    <mergeCell ref="J11:J12"/>
    <mergeCell ref="K11:K12"/>
    <mergeCell ref="L11:L12"/>
    <mergeCell ref="L3:U3"/>
    <mergeCell ref="M6:U6"/>
    <mergeCell ref="A7:U7"/>
    <mergeCell ref="A9:A12"/>
    <mergeCell ref="B9:B12"/>
    <mergeCell ref="C9:C12"/>
    <mergeCell ref="D9:D12"/>
    <mergeCell ref="E9:E12"/>
    <mergeCell ref="F9:F12"/>
    <mergeCell ref="G9:U10"/>
    <mergeCell ref="E83:E84"/>
    <mergeCell ref="B85:B143"/>
    <mergeCell ref="S11:S12"/>
    <mergeCell ref="T11:T12"/>
    <mergeCell ref="U11:U12"/>
    <mergeCell ref="E14:E21"/>
    <mergeCell ref="B41:B48"/>
    <mergeCell ref="E41:E47"/>
    <mergeCell ref="M11:M12"/>
    <mergeCell ref="N11:N12"/>
    <mergeCell ref="O11:O12"/>
    <mergeCell ref="P11:P12"/>
    <mergeCell ref="Q11:Q12"/>
    <mergeCell ref="R11:R12"/>
    <mergeCell ref="G11:G12"/>
    <mergeCell ref="H11:H12"/>
    <mergeCell ref="A61:A62"/>
    <mergeCell ref="B69:B71"/>
    <mergeCell ref="A70:A71"/>
    <mergeCell ref="A82:B82"/>
    <mergeCell ref="A221:B221"/>
    <mergeCell ref="C221:E221"/>
    <mergeCell ref="B222:B228"/>
    <mergeCell ref="E222:E225"/>
    <mergeCell ref="E226:E227"/>
    <mergeCell ref="B250:U250"/>
    <mergeCell ref="A238:B238"/>
    <mergeCell ref="B252:K252"/>
    <mergeCell ref="A243:B243"/>
    <mergeCell ref="C243:E243"/>
    <mergeCell ref="E245:E246"/>
    <mergeCell ref="A248:B248"/>
    <mergeCell ref="C248:E248"/>
    <mergeCell ref="A249:B249"/>
  </mergeCells>
  <printOptions horizontalCentered="1"/>
  <pageMargins left="0.39370078740157483" right="0.39370078740157483" top="0.59055118110236227" bottom="0.39370078740157483" header="0.43307086614173229" footer="0"/>
  <pageSetup paperSize="9" scale="55" firstPageNumber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40" max="20" man="1"/>
    <brk id="72" max="20" man="1"/>
    <brk id="202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2"/>
  <sheetViews>
    <sheetView view="pageBreakPreview" zoomScale="91" zoomScaleNormal="100" zoomScaleSheetLayoutView="91" workbookViewId="0">
      <pane xSplit="13" ySplit="11" topLeftCell="N12" activePane="bottomRight" state="frozen"/>
      <selection pane="topRight" activeCell="N1" sqref="N1"/>
      <selection pane="bottomLeft" activeCell="A12" sqref="A12"/>
      <selection pane="bottomRight" activeCell="C259" sqref="C259"/>
    </sheetView>
  </sheetViews>
  <sheetFormatPr defaultRowHeight="13.5" outlineLevelRow="5" x14ac:dyDescent="0.2"/>
  <cols>
    <col min="1" max="1" width="5.28515625" style="1" customWidth="1"/>
    <col min="2" max="2" width="21.42578125" style="1" customWidth="1"/>
    <col min="3" max="3" width="60.42578125" style="2" customWidth="1"/>
    <col min="4" max="4" width="7.5703125" style="1" customWidth="1"/>
    <col min="5" max="5" width="20.1406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42578125" style="1" customWidth="1"/>
    <col min="15" max="15" width="12.5703125" style="1" customWidth="1"/>
    <col min="16" max="16" width="12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3.7109375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/>
      <c r="S1" s="87" t="s">
        <v>190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212"/>
      <c r="L2" s="212"/>
      <c r="M2" s="212"/>
      <c r="N2" s="212"/>
      <c r="O2" s="212"/>
      <c r="P2" s="212"/>
      <c r="Q2" s="212"/>
      <c r="R2" s="87"/>
      <c r="S2" s="87" t="s">
        <v>282</v>
      </c>
      <c r="T2" s="212"/>
      <c r="U2" s="212"/>
    </row>
    <row r="3" spans="1:21" ht="15.75" customHeight="1" x14ac:dyDescent="0.3">
      <c r="A3" s="3"/>
      <c r="B3" s="3"/>
      <c r="C3" s="4"/>
      <c r="D3" s="3"/>
      <c r="E3" s="3"/>
      <c r="F3" s="3"/>
      <c r="G3" s="3"/>
      <c r="H3" s="3"/>
      <c r="I3" s="3"/>
      <c r="J3" s="212"/>
      <c r="K3" s="212"/>
      <c r="L3" s="416"/>
      <c r="M3" s="417"/>
      <c r="N3" s="417"/>
      <c r="O3" s="417"/>
      <c r="P3" s="417"/>
      <c r="Q3" s="417"/>
      <c r="R3" s="417"/>
      <c r="S3" s="417"/>
      <c r="T3" s="417"/>
      <c r="U3" s="417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213"/>
      <c r="K4" s="213"/>
      <c r="L4" s="213"/>
      <c r="M4" s="419"/>
      <c r="N4" s="419"/>
      <c r="O4" s="420"/>
      <c r="P4" s="420"/>
      <c r="Q4" s="420"/>
      <c r="R4" s="420"/>
      <c r="S4" s="420"/>
      <c r="T4" s="420"/>
      <c r="U4" s="420"/>
    </row>
    <row r="5" spans="1:21" ht="24" customHeight="1" x14ac:dyDescent="0.35">
      <c r="A5" s="507" t="s">
        <v>0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</row>
    <row r="7" spans="1:21" ht="12.75" customHeight="1" x14ac:dyDescent="0.2">
      <c r="A7" s="508" t="s">
        <v>1</v>
      </c>
      <c r="B7" s="510" t="s">
        <v>2</v>
      </c>
      <c r="C7" s="511" t="s">
        <v>3</v>
      </c>
      <c r="D7" s="513" t="s">
        <v>4</v>
      </c>
      <c r="E7" s="513" t="s">
        <v>5</v>
      </c>
      <c r="F7" s="513" t="s">
        <v>218</v>
      </c>
      <c r="G7" s="510" t="s">
        <v>6</v>
      </c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6"/>
    </row>
    <row r="8" spans="1:21" ht="12.75" x14ac:dyDescent="0.2">
      <c r="A8" s="509"/>
      <c r="B8" s="505"/>
      <c r="C8" s="512"/>
      <c r="D8" s="514"/>
      <c r="E8" s="514"/>
      <c r="F8" s="514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17"/>
    </row>
    <row r="9" spans="1:21" ht="12.75" customHeight="1" x14ac:dyDescent="0.2">
      <c r="A9" s="509"/>
      <c r="B9" s="505"/>
      <c r="C9" s="512"/>
      <c r="D9" s="514"/>
      <c r="E9" s="514"/>
      <c r="F9" s="514"/>
      <c r="G9" s="505">
        <v>2016</v>
      </c>
      <c r="H9" s="505">
        <v>2017</v>
      </c>
      <c r="I9" s="505">
        <v>2018</v>
      </c>
      <c r="J9" s="505">
        <v>2019</v>
      </c>
      <c r="K9" s="505">
        <v>2020</v>
      </c>
      <c r="L9" s="505">
        <v>2021</v>
      </c>
      <c r="M9" s="505">
        <v>2022</v>
      </c>
      <c r="N9" s="505" t="s">
        <v>209</v>
      </c>
      <c r="O9" s="505">
        <v>2023</v>
      </c>
      <c r="P9" s="505">
        <v>2024</v>
      </c>
      <c r="Q9" s="505">
        <v>2025</v>
      </c>
      <c r="R9" s="505">
        <v>2026</v>
      </c>
      <c r="S9" s="505">
        <v>2027</v>
      </c>
      <c r="T9" s="505">
        <v>2028</v>
      </c>
      <c r="U9" s="517" t="s">
        <v>7</v>
      </c>
    </row>
    <row r="10" spans="1:21" ht="20.25" customHeight="1" x14ac:dyDescent="0.2">
      <c r="A10" s="509"/>
      <c r="B10" s="506"/>
      <c r="C10" s="512"/>
      <c r="D10" s="515"/>
      <c r="E10" s="515"/>
      <c r="F10" s="515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18"/>
    </row>
    <row r="11" spans="1:21" ht="21" customHeight="1" x14ac:dyDescent="0.2">
      <c r="A11" s="130">
        <v>1</v>
      </c>
      <c r="B11" s="201">
        <v>2</v>
      </c>
      <c r="C11" s="201">
        <v>3</v>
      </c>
      <c r="D11" s="201">
        <v>4</v>
      </c>
      <c r="E11" s="201">
        <v>5</v>
      </c>
      <c r="F11" s="201">
        <v>6</v>
      </c>
      <c r="G11" s="201"/>
      <c r="H11" s="201"/>
      <c r="I11" s="201"/>
      <c r="J11" s="201"/>
      <c r="K11" s="201"/>
      <c r="L11" s="201"/>
      <c r="M11" s="201"/>
      <c r="N11" s="201">
        <v>7</v>
      </c>
      <c r="O11" s="201">
        <v>8</v>
      </c>
      <c r="P11" s="201">
        <v>9</v>
      </c>
      <c r="Q11" s="201">
        <v>10</v>
      </c>
      <c r="R11" s="201">
        <v>11</v>
      </c>
      <c r="S11" s="201">
        <v>12</v>
      </c>
      <c r="T11" s="201">
        <v>13</v>
      </c>
      <c r="U11" s="202">
        <v>14</v>
      </c>
    </row>
    <row r="12" spans="1:21" s="7" customFormat="1" ht="57" hidden="1" customHeight="1" outlineLevel="2" x14ac:dyDescent="0.2">
      <c r="A12" s="101">
        <v>1</v>
      </c>
      <c r="B12" s="219" t="s">
        <v>8</v>
      </c>
      <c r="C12" s="197" t="s">
        <v>9</v>
      </c>
      <c r="D12" s="93" t="s">
        <v>10</v>
      </c>
      <c r="E12" s="425" t="s">
        <v>271</v>
      </c>
      <c r="F12" s="108" t="s">
        <v>11</v>
      </c>
      <c r="G12" s="22">
        <v>73702.679999999993</v>
      </c>
      <c r="H12" s="22">
        <f>94537.8+830</f>
        <v>95367.8</v>
      </c>
      <c r="I12" s="22">
        <v>114042.5</v>
      </c>
      <c r="J12" s="22">
        <v>143546.20000000001</v>
      </c>
      <c r="K12" s="22">
        <v>227890.4</v>
      </c>
      <c r="L12" s="22">
        <f>59251.7+11539-1500+103.7+3900</f>
        <v>73294.399999999994</v>
      </c>
      <c r="M12" s="22">
        <v>0</v>
      </c>
      <c r="N12" s="22">
        <f>G12+H12+I12+J12+K12+L12+M12</f>
        <v>727843.98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f>SUM(G12:T12)-N12</f>
        <v>727843.98</v>
      </c>
    </row>
    <row r="13" spans="1:21" s="7" customFormat="1" ht="110.25" hidden="1" customHeight="1" outlineLevel="1" x14ac:dyDescent="0.2">
      <c r="A13" s="211">
        <v>1</v>
      </c>
      <c r="B13" s="209"/>
      <c r="C13" s="198" t="s">
        <v>262</v>
      </c>
      <c r="D13" s="95" t="s">
        <v>258</v>
      </c>
      <c r="E13" s="426"/>
      <c r="F13" s="34" t="s">
        <v>11</v>
      </c>
      <c r="G13" s="6">
        <v>9960</v>
      </c>
      <c r="H13" s="6">
        <v>9960</v>
      </c>
      <c r="I13" s="6">
        <v>400</v>
      </c>
      <c r="J13" s="6">
        <v>2102.1999999999998</v>
      </c>
      <c r="K13" s="6">
        <v>20800</v>
      </c>
      <c r="L13" s="6">
        <v>0</v>
      </c>
      <c r="M13" s="6">
        <v>0</v>
      </c>
      <c r="N13" s="6">
        <f t="shared" ref="N13:N76" si="0">G13+H13+I13+J13+K13+L13+M13</f>
        <v>43222.2</v>
      </c>
      <c r="O13" s="6">
        <f>0+5200</f>
        <v>5200</v>
      </c>
      <c r="P13" s="6">
        <v>5600</v>
      </c>
      <c r="Q13" s="6">
        <f>7000-7000</f>
        <v>0</v>
      </c>
      <c r="R13" s="6">
        <f>8000-8000</f>
        <v>0</v>
      </c>
      <c r="S13" s="6">
        <f>9000-9000</f>
        <v>0</v>
      </c>
      <c r="T13" s="6">
        <f>10000-10000</f>
        <v>0</v>
      </c>
      <c r="U13" s="6">
        <f t="shared" ref="U13:U76" si="1">SUM(G13:T13)-N13</f>
        <v>54022.2</v>
      </c>
    </row>
    <row r="14" spans="1:21" s="7" customFormat="1" ht="48.75" hidden="1" customHeight="1" outlineLevel="1" x14ac:dyDescent="0.2">
      <c r="A14" s="8"/>
      <c r="B14" s="209"/>
      <c r="C14" s="198" t="s">
        <v>12</v>
      </c>
      <c r="D14" s="95" t="s">
        <v>258</v>
      </c>
      <c r="E14" s="426"/>
      <c r="F14" s="24" t="s">
        <v>11</v>
      </c>
      <c r="G14" s="6">
        <v>17132.7</v>
      </c>
      <c r="H14" s="9">
        <v>15000</v>
      </c>
      <c r="I14" s="9">
        <v>8150</v>
      </c>
      <c r="J14" s="9">
        <v>7800</v>
      </c>
      <c r="K14" s="9">
        <v>13000</v>
      </c>
      <c r="L14" s="9">
        <v>12500</v>
      </c>
      <c r="M14" s="9">
        <v>13750</v>
      </c>
      <c r="N14" s="6">
        <f t="shared" si="0"/>
        <v>87332.7</v>
      </c>
      <c r="O14" s="9">
        <f>15125-5200</f>
        <v>9925</v>
      </c>
      <c r="P14" s="9">
        <v>0</v>
      </c>
      <c r="Q14" s="9">
        <f>20000-20000</f>
        <v>0</v>
      </c>
      <c r="R14" s="9">
        <f>22000-22000</f>
        <v>0</v>
      </c>
      <c r="S14" s="9">
        <f>18000-18000</f>
        <v>0</v>
      </c>
      <c r="T14" s="9">
        <f>20000-20000</f>
        <v>0</v>
      </c>
      <c r="U14" s="6">
        <f t="shared" si="1"/>
        <v>97257.7</v>
      </c>
    </row>
    <row r="15" spans="1:21" s="7" customFormat="1" ht="46.5" hidden="1" customHeight="1" outlineLevel="2" x14ac:dyDescent="0.2">
      <c r="A15" s="8"/>
      <c r="B15" s="209"/>
      <c r="C15" s="198" t="s">
        <v>13</v>
      </c>
      <c r="D15" s="95" t="s">
        <v>14</v>
      </c>
      <c r="E15" s="426"/>
      <c r="F15" s="24" t="s">
        <v>11</v>
      </c>
      <c r="G15" s="6">
        <v>100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6">
        <f t="shared" si="0"/>
        <v>100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6">
        <f t="shared" si="1"/>
        <v>100</v>
      </c>
    </row>
    <row r="16" spans="1:21" s="7" customFormat="1" ht="46.5" hidden="1" customHeight="1" outlineLevel="2" x14ac:dyDescent="0.2">
      <c r="A16" s="8"/>
      <c r="B16" s="209"/>
      <c r="C16" s="198" t="s">
        <v>15</v>
      </c>
      <c r="D16" s="95" t="s">
        <v>14</v>
      </c>
      <c r="E16" s="426"/>
      <c r="F16" s="24" t="s">
        <v>11</v>
      </c>
      <c r="G16" s="6">
        <v>290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6">
        <f t="shared" si="0"/>
        <v>290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6">
        <f t="shared" si="1"/>
        <v>290</v>
      </c>
    </row>
    <row r="17" spans="1:21" s="7" customFormat="1" ht="42.75" hidden="1" customHeight="1" outlineLevel="2" x14ac:dyDescent="0.2">
      <c r="A17" s="8"/>
      <c r="B17" s="209"/>
      <c r="C17" s="198" t="s">
        <v>16</v>
      </c>
      <c r="D17" s="95" t="s">
        <v>14</v>
      </c>
      <c r="E17" s="426"/>
      <c r="F17" s="24" t="s">
        <v>11</v>
      </c>
      <c r="G17" s="6">
        <v>60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6">
        <f t="shared" si="0"/>
        <v>60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6">
        <f t="shared" si="1"/>
        <v>60</v>
      </c>
    </row>
    <row r="18" spans="1:21" s="7" customFormat="1" ht="44.25" hidden="1" customHeight="1" outlineLevel="2" x14ac:dyDescent="0.2">
      <c r="A18" s="8"/>
      <c r="B18" s="209"/>
      <c r="C18" s="198" t="s">
        <v>17</v>
      </c>
      <c r="D18" s="95" t="s">
        <v>14</v>
      </c>
      <c r="E18" s="426"/>
      <c r="F18" s="24" t="s">
        <v>11</v>
      </c>
      <c r="G18" s="6">
        <v>100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6">
        <f t="shared" si="0"/>
        <v>100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6">
        <f t="shared" si="1"/>
        <v>100</v>
      </c>
    </row>
    <row r="19" spans="1:21" s="7" customFormat="1" ht="42" hidden="1" customHeight="1" outlineLevel="1" collapsed="1" x14ac:dyDescent="0.2">
      <c r="A19" s="8"/>
      <c r="B19" s="209"/>
      <c r="C19" s="198" t="s">
        <v>18</v>
      </c>
      <c r="D19" s="95" t="s">
        <v>25</v>
      </c>
      <c r="E19" s="426"/>
      <c r="F19" s="24" t="s">
        <v>11</v>
      </c>
      <c r="G19" s="9">
        <v>0</v>
      </c>
      <c r="H19" s="9">
        <v>3500</v>
      </c>
      <c r="I19" s="9">
        <v>1200</v>
      </c>
      <c r="J19" s="9">
        <v>20000</v>
      </c>
      <c r="K19" s="9">
        <v>12050</v>
      </c>
      <c r="L19" s="9">
        <v>15500</v>
      </c>
      <c r="M19" s="9">
        <v>3850</v>
      </c>
      <c r="N19" s="6">
        <f t="shared" si="0"/>
        <v>56100</v>
      </c>
      <c r="O19" s="9">
        <v>4235</v>
      </c>
      <c r="P19" s="9">
        <v>0</v>
      </c>
      <c r="Q19" s="9">
        <f>3500-3500</f>
        <v>0</v>
      </c>
      <c r="R19" s="9">
        <f>4000-4000</f>
        <v>0</v>
      </c>
      <c r="S19" s="9">
        <f>4500-4500</f>
        <v>0</v>
      </c>
      <c r="T19" s="9">
        <f>5000-5000</f>
        <v>0</v>
      </c>
      <c r="U19" s="6">
        <f t="shared" si="1"/>
        <v>60335</v>
      </c>
    </row>
    <row r="20" spans="1:21" s="7" customFormat="1" ht="46.5" hidden="1" customHeight="1" outlineLevel="2" x14ac:dyDescent="0.2">
      <c r="A20" s="10"/>
      <c r="B20" s="11"/>
      <c r="C20" s="198" t="s">
        <v>19</v>
      </c>
      <c r="D20" s="96" t="s">
        <v>14</v>
      </c>
      <c r="E20" s="10"/>
      <c r="F20" s="24" t="s">
        <v>11</v>
      </c>
      <c r="G20" s="9">
        <v>0</v>
      </c>
      <c r="H20" s="9">
        <v>200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200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200</v>
      </c>
    </row>
    <row r="21" spans="1:21" s="7" customFormat="1" ht="43.5" hidden="1" customHeight="1" outlineLevel="2" x14ac:dyDescent="0.2">
      <c r="A21" s="8"/>
      <c r="B21" s="10"/>
      <c r="C21" s="198" t="s">
        <v>20</v>
      </c>
      <c r="D21" s="95" t="s">
        <v>14</v>
      </c>
      <c r="E21" s="10"/>
      <c r="F21" s="24" t="s">
        <v>11</v>
      </c>
      <c r="G21" s="9">
        <v>0</v>
      </c>
      <c r="H21" s="6">
        <v>60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60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60</v>
      </c>
    </row>
    <row r="22" spans="1:21" s="7" customFormat="1" ht="54.75" hidden="1" customHeight="1" outlineLevel="2" x14ac:dyDescent="0.2">
      <c r="A22" s="8"/>
      <c r="B22" s="10"/>
      <c r="C22" s="199" t="s">
        <v>21</v>
      </c>
      <c r="D22" s="96" t="s">
        <v>14</v>
      </c>
      <c r="E22" s="10"/>
      <c r="F22" s="24" t="s">
        <v>11</v>
      </c>
      <c r="G22" s="9">
        <v>0</v>
      </c>
      <c r="H22" s="6">
        <v>150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150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150</v>
      </c>
    </row>
    <row r="23" spans="1:21" s="7" customFormat="1" ht="44.25" hidden="1" customHeight="1" outlineLevel="2" x14ac:dyDescent="0.2">
      <c r="A23" s="8"/>
      <c r="B23" s="10"/>
      <c r="C23" s="197" t="s">
        <v>22</v>
      </c>
      <c r="D23" s="93" t="s">
        <v>14</v>
      </c>
      <c r="E23" s="10"/>
      <c r="F23" s="24" t="s">
        <v>11</v>
      </c>
      <c r="G23" s="9">
        <v>0</v>
      </c>
      <c r="H23" s="6">
        <v>150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150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150</v>
      </c>
    </row>
    <row r="24" spans="1:21" s="7" customFormat="1" ht="47.25" hidden="1" customHeight="1" outlineLevel="1" collapsed="1" x14ac:dyDescent="0.2">
      <c r="A24" s="8"/>
      <c r="B24" s="11"/>
      <c r="C24" s="198" t="s">
        <v>23</v>
      </c>
      <c r="D24" s="95" t="s">
        <v>209</v>
      </c>
      <c r="E24" s="10"/>
      <c r="F24" s="24" t="s">
        <v>11</v>
      </c>
      <c r="G24" s="9">
        <v>0</v>
      </c>
      <c r="H24" s="6">
        <v>5500</v>
      </c>
      <c r="I24" s="6">
        <v>42900</v>
      </c>
      <c r="J24" s="6">
        <v>11871.2</v>
      </c>
      <c r="K24" s="6">
        <v>11940.3</v>
      </c>
      <c r="L24" s="6">
        <v>6000</v>
      </c>
      <c r="M24" s="6">
        <v>0</v>
      </c>
      <c r="N24" s="6">
        <f t="shared" si="0"/>
        <v>78211.5</v>
      </c>
      <c r="O24" s="6">
        <v>0</v>
      </c>
      <c r="P24" s="6">
        <v>0</v>
      </c>
      <c r="Q24" s="6">
        <f>5000-5000</f>
        <v>0</v>
      </c>
      <c r="R24" s="6">
        <f>5000-5000</f>
        <v>0</v>
      </c>
      <c r="S24" s="6">
        <v>0</v>
      </c>
      <c r="T24" s="6">
        <v>0</v>
      </c>
      <c r="U24" s="6">
        <f t="shared" si="1"/>
        <v>78211.5</v>
      </c>
    </row>
    <row r="25" spans="1:21" s="7" customFormat="1" ht="49.5" hidden="1" customHeight="1" outlineLevel="2" x14ac:dyDescent="0.2">
      <c r="A25" s="75"/>
      <c r="B25" s="13"/>
      <c r="C25" s="198" t="s">
        <v>24</v>
      </c>
      <c r="D25" s="95" t="s">
        <v>25</v>
      </c>
      <c r="E25" s="18"/>
      <c r="F25" s="24" t="s">
        <v>11</v>
      </c>
      <c r="G25" s="6">
        <v>2000</v>
      </c>
      <c r="H25" s="6">
        <v>2000</v>
      </c>
      <c r="I25" s="6">
        <v>3250</v>
      </c>
      <c r="J25" s="6">
        <v>4600</v>
      </c>
      <c r="K25" s="6">
        <v>4000</v>
      </c>
      <c r="L25" s="6">
        <f>0+397.7</f>
        <v>397.7</v>
      </c>
      <c r="M25" s="6">
        <v>0</v>
      </c>
      <c r="N25" s="6">
        <f t="shared" si="0"/>
        <v>16247.7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f t="shared" si="1"/>
        <v>16247.7</v>
      </c>
    </row>
    <row r="26" spans="1:21" s="7" customFormat="1" ht="47.25" hidden="1" customHeight="1" outlineLevel="2" x14ac:dyDescent="0.2">
      <c r="A26" s="8"/>
      <c r="B26" s="11"/>
      <c r="C26" s="198" t="s">
        <v>26</v>
      </c>
      <c r="D26" s="95" t="s">
        <v>25</v>
      </c>
      <c r="E26" s="10"/>
      <c r="F26" s="24" t="s">
        <v>11</v>
      </c>
      <c r="G26" s="9">
        <v>100</v>
      </c>
      <c r="H26" s="6">
        <v>2000</v>
      </c>
      <c r="I26" s="6">
        <v>3100</v>
      </c>
      <c r="J26" s="6">
        <v>12000</v>
      </c>
      <c r="K26" s="6">
        <v>14573.5</v>
      </c>
      <c r="L26" s="6">
        <f>1017.3</f>
        <v>1017.3</v>
      </c>
      <c r="M26" s="6">
        <v>0</v>
      </c>
      <c r="N26" s="6">
        <f t="shared" si="0"/>
        <v>32790.800000000003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f t="shared" si="1"/>
        <v>32790.800000000003</v>
      </c>
    </row>
    <row r="27" spans="1:21" s="7" customFormat="1" ht="45" hidden="1" customHeight="1" outlineLevel="2" x14ac:dyDescent="0.2">
      <c r="A27" s="8"/>
      <c r="B27" s="11"/>
      <c r="C27" s="198" t="s">
        <v>27</v>
      </c>
      <c r="D27" s="95" t="s">
        <v>25</v>
      </c>
      <c r="E27" s="10"/>
      <c r="F27" s="24" t="s">
        <v>11</v>
      </c>
      <c r="G27" s="6">
        <v>1500</v>
      </c>
      <c r="H27" s="6">
        <v>1680</v>
      </c>
      <c r="I27" s="6">
        <v>1800</v>
      </c>
      <c r="J27" s="6">
        <v>3450</v>
      </c>
      <c r="K27" s="6">
        <v>3000</v>
      </c>
      <c r="L27" s="6">
        <f>0+1500+815.9</f>
        <v>2315.9</v>
      </c>
      <c r="M27" s="6">
        <v>0</v>
      </c>
      <c r="N27" s="6">
        <f t="shared" si="0"/>
        <v>13745.9</v>
      </c>
      <c r="O27" s="6">
        <f>2850.5</f>
        <v>2850.5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f t="shared" si="1"/>
        <v>16596.400000000001</v>
      </c>
    </row>
    <row r="28" spans="1:21" s="7" customFormat="1" ht="66.75" hidden="1" customHeight="1" outlineLevel="1" collapsed="1" x14ac:dyDescent="0.2">
      <c r="A28" s="8"/>
      <c r="B28" s="11"/>
      <c r="C28" s="198" t="s">
        <v>219</v>
      </c>
      <c r="D28" s="95" t="s">
        <v>209</v>
      </c>
      <c r="E28" s="10"/>
      <c r="F28" s="24" t="s">
        <v>11</v>
      </c>
      <c r="G28" s="9">
        <v>0</v>
      </c>
      <c r="H28" s="6">
        <f>5650</f>
        <v>5650</v>
      </c>
      <c r="I28" s="6">
        <v>6800</v>
      </c>
      <c r="J28" s="6">
        <v>8000</v>
      </c>
      <c r="K28" s="6">
        <v>9500</v>
      </c>
      <c r="L28" s="6">
        <v>3500</v>
      </c>
      <c r="M28" s="6">
        <v>3850</v>
      </c>
      <c r="N28" s="6">
        <f t="shared" si="0"/>
        <v>37300</v>
      </c>
      <c r="O28" s="6">
        <f>4235-4235</f>
        <v>0</v>
      </c>
      <c r="P28" s="6">
        <v>0</v>
      </c>
      <c r="Q28" s="6">
        <f>7300-7300</f>
        <v>0</v>
      </c>
      <c r="R28" s="6">
        <f>8000-8000</f>
        <v>0</v>
      </c>
      <c r="S28" s="6">
        <f>8800-8800</f>
        <v>0</v>
      </c>
      <c r="T28" s="6">
        <f>10000-10000</f>
        <v>0</v>
      </c>
      <c r="U28" s="6">
        <f t="shared" si="1"/>
        <v>37300</v>
      </c>
    </row>
    <row r="29" spans="1:21" s="7" customFormat="1" ht="72" hidden="1" customHeight="1" outlineLevel="2" x14ac:dyDescent="0.2">
      <c r="A29" s="10"/>
      <c r="B29" s="11"/>
      <c r="C29" s="198" t="s">
        <v>210</v>
      </c>
      <c r="D29" s="96" t="s">
        <v>25</v>
      </c>
      <c r="E29" s="10"/>
      <c r="F29" s="24" t="s">
        <v>11</v>
      </c>
      <c r="G29" s="9">
        <v>0</v>
      </c>
      <c r="H29" s="6">
        <v>9116.2999999999993</v>
      </c>
      <c r="I29" s="9">
        <v>0</v>
      </c>
      <c r="J29" s="9">
        <v>200</v>
      </c>
      <c r="K29" s="9">
        <v>14000</v>
      </c>
      <c r="L29" s="9">
        <v>9713.6</v>
      </c>
      <c r="M29" s="9">
        <v>0</v>
      </c>
      <c r="N29" s="6">
        <f t="shared" si="0"/>
        <v>33029.9</v>
      </c>
      <c r="O29" s="9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f t="shared" si="1"/>
        <v>33029.9</v>
      </c>
    </row>
    <row r="30" spans="1:21" s="7" customFormat="1" ht="66" hidden="1" customHeight="1" outlineLevel="1" collapsed="1" x14ac:dyDescent="0.2">
      <c r="A30" s="10"/>
      <c r="B30" s="12"/>
      <c r="C30" s="198" t="s">
        <v>266</v>
      </c>
      <c r="D30" s="95" t="s">
        <v>209</v>
      </c>
      <c r="E30" s="10"/>
      <c r="F30" s="24" t="s">
        <v>11</v>
      </c>
      <c r="G30" s="9">
        <v>0</v>
      </c>
      <c r="H30" s="9">
        <v>0</v>
      </c>
      <c r="I30" s="6">
        <v>10000</v>
      </c>
      <c r="J30" s="9">
        <v>0</v>
      </c>
      <c r="K30" s="9">
        <v>0</v>
      </c>
      <c r="L30" s="9">
        <v>16000</v>
      </c>
      <c r="M30" s="9">
        <v>0</v>
      </c>
      <c r="N30" s="6">
        <f t="shared" si="0"/>
        <v>26000</v>
      </c>
      <c r="O30" s="9">
        <v>0</v>
      </c>
      <c r="P30" s="9">
        <v>0</v>
      </c>
      <c r="Q30" s="9">
        <f>40000-40000</f>
        <v>0</v>
      </c>
      <c r="R30" s="9">
        <v>0</v>
      </c>
      <c r="S30" s="9">
        <v>0</v>
      </c>
      <c r="T30" s="9">
        <v>0</v>
      </c>
      <c r="U30" s="6">
        <f t="shared" si="1"/>
        <v>26000</v>
      </c>
    </row>
    <row r="31" spans="1:21" s="7" customFormat="1" ht="71.25" hidden="1" customHeight="1" outlineLevel="2" x14ac:dyDescent="0.2">
      <c r="A31" s="10"/>
      <c r="B31" s="12"/>
      <c r="C31" s="198" t="s">
        <v>28</v>
      </c>
      <c r="D31" s="95" t="s">
        <v>25</v>
      </c>
      <c r="E31" s="10"/>
      <c r="F31" s="24" t="s">
        <v>11</v>
      </c>
      <c r="G31" s="9">
        <v>0</v>
      </c>
      <c r="H31" s="9">
        <v>0</v>
      </c>
      <c r="I31" s="9">
        <v>0</v>
      </c>
      <c r="J31" s="9">
        <v>2425</v>
      </c>
      <c r="K31" s="9">
        <v>1275</v>
      </c>
      <c r="L31" s="9">
        <v>286.39999999999998</v>
      </c>
      <c r="M31" s="9">
        <v>0</v>
      </c>
      <c r="N31" s="6">
        <f t="shared" si="0"/>
        <v>3986.4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6">
        <f t="shared" si="1"/>
        <v>3986.4</v>
      </c>
    </row>
    <row r="32" spans="1:21" s="7" customFormat="1" ht="69" hidden="1" customHeight="1" outlineLevel="1" collapsed="1" x14ac:dyDescent="0.2">
      <c r="A32" s="8"/>
      <c r="B32" s="11"/>
      <c r="C32" s="199" t="s">
        <v>272</v>
      </c>
      <c r="D32" s="96" t="s">
        <v>209</v>
      </c>
      <c r="E32" s="10"/>
      <c r="F32" s="24" t="s">
        <v>11</v>
      </c>
      <c r="G32" s="9">
        <v>0</v>
      </c>
      <c r="H32" s="9">
        <v>0</v>
      </c>
      <c r="I32" s="6">
        <v>10000</v>
      </c>
      <c r="J32" s="9">
        <v>0</v>
      </c>
      <c r="K32" s="9">
        <v>0</v>
      </c>
      <c r="L32" s="9">
        <v>0</v>
      </c>
      <c r="M32" s="9">
        <f>16000-16000</f>
        <v>0</v>
      </c>
      <c r="N32" s="6">
        <f t="shared" si="0"/>
        <v>10000</v>
      </c>
      <c r="O32" s="9">
        <v>0</v>
      </c>
      <c r="P32" s="9">
        <v>0</v>
      </c>
      <c r="Q32" s="9">
        <v>0</v>
      </c>
      <c r="R32" s="9">
        <f>50000-50000</f>
        <v>0</v>
      </c>
      <c r="S32" s="9">
        <v>0</v>
      </c>
      <c r="T32" s="9">
        <v>0</v>
      </c>
      <c r="U32" s="6">
        <f t="shared" si="1"/>
        <v>10000</v>
      </c>
    </row>
    <row r="33" spans="1:21" s="7" customFormat="1" ht="68.25" hidden="1" customHeight="1" outlineLevel="1" x14ac:dyDescent="0.2">
      <c r="A33" s="8"/>
      <c r="B33" s="11"/>
      <c r="C33" s="151" t="s">
        <v>267</v>
      </c>
      <c r="D33" s="93" t="s">
        <v>209</v>
      </c>
      <c r="E33" s="10"/>
      <c r="F33" s="24" t="s">
        <v>11</v>
      </c>
      <c r="G33" s="9">
        <v>0</v>
      </c>
      <c r="H33" s="9">
        <v>0</v>
      </c>
      <c r="I33" s="9">
        <v>0</v>
      </c>
      <c r="J33" s="6">
        <v>8000</v>
      </c>
      <c r="K33" s="9">
        <v>0</v>
      </c>
      <c r="L33" s="9">
        <v>0</v>
      </c>
      <c r="M33" s="9">
        <v>4000</v>
      </c>
      <c r="N33" s="6">
        <f t="shared" si="0"/>
        <v>12000</v>
      </c>
      <c r="O33" s="9">
        <f>18000-18000</f>
        <v>0</v>
      </c>
      <c r="P33" s="9">
        <v>0</v>
      </c>
      <c r="Q33" s="9">
        <v>0</v>
      </c>
      <c r="R33" s="9">
        <v>0</v>
      </c>
      <c r="S33" s="9">
        <v>0</v>
      </c>
      <c r="T33" s="9">
        <f>80000-80000</f>
        <v>0</v>
      </c>
      <c r="U33" s="6">
        <f t="shared" si="1"/>
        <v>12000</v>
      </c>
    </row>
    <row r="34" spans="1:21" s="7" customFormat="1" ht="83.25" hidden="1" customHeight="1" outlineLevel="1" x14ac:dyDescent="0.2">
      <c r="A34" s="10"/>
      <c r="B34" s="11"/>
      <c r="C34" s="111" t="s">
        <v>29</v>
      </c>
      <c r="D34" s="96" t="s">
        <v>25</v>
      </c>
      <c r="E34" s="10"/>
      <c r="F34" s="24" t="s">
        <v>11</v>
      </c>
      <c r="G34" s="9">
        <v>0</v>
      </c>
      <c r="H34" s="9">
        <v>0</v>
      </c>
      <c r="I34" s="9">
        <v>0</v>
      </c>
      <c r="J34" s="9">
        <v>0</v>
      </c>
      <c r="K34" s="6">
        <v>10000</v>
      </c>
      <c r="L34" s="6">
        <v>0</v>
      </c>
      <c r="M34" s="6">
        <v>0</v>
      </c>
      <c r="N34" s="6">
        <f t="shared" si="0"/>
        <v>10000</v>
      </c>
      <c r="O34" s="6">
        <v>16000</v>
      </c>
      <c r="P34" s="6">
        <v>0</v>
      </c>
      <c r="Q34" s="6">
        <v>0</v>
      </c>
      <c r="R34" s="6">
        <v>0</v>
      </c>
      <c r="S34" s="6">
        <f>60000-60000</f>
        <v>0</v>
      </c>
      <c r="T34" s="6">
        <v>0</v>
      </c>
      <c r="U34" s="6">
        <f t="shared" si="1"/>
        <v>26000</v>
      </c>
    </row>
    <row r="35" spans="1:21" s="7" customFormat="1" ht="69.75" hidden="1" customHeight="1" outlineLevel="1" x14ac:dyDescent="0.2">
      <c r="A35" s="70"/>
      <c r="B35" s="82"/>
      <c r="C35" s="109" t="s">
        <v>30</v>
      </c>
      <c r="D35" s="98" t="s">
        <v>209</v>
      </c>
      <c r="E35" s="18"/>
      <c r="F35" s="24" t="s">
        <v>11</v>
      </c>
      <c r="G35" s="9">
        <v>0</v>
      </c>
      <c r="H35" s="6">
        <f>5000-830</f>
        <v>4170</v>
      </c>
      <c r="I35" s="6">
        <v>2000</v>
      </c>
      <c r="J35" s="6">
        <v>2500</v>
      </c>
      <c r="K35" s="6">
        <v>0</v>
      </c>
      <c r="L35" s="6">
        <v>3500</v>
      </c>
      <c r="M35" s="6">
        <v>2000</v>
      </c>
      <c r="N35" s="6">
        <f t="shared" si="0"/>
        <v>14170</v>
      </c>
      <c r="O35" s="6">
        <f>2000-2000</f>
        <v>0</v>
      </c>
      <c r="P35" s="6">
        <v>0</v>
      </c>
      <c r="Q35" s="6">
        <v>0</v>
      </c>
      <c r="R35" s="6">
        <f>5000-5000</f>
        <v>0</v>
      </c>
      <c r="S35" s="6">
        <f>5000-5000</f>
        <v>0</v>
      </c>
      <c r="T35" s="6">
        <f>5000-5000</f>
        <v>0</v>
      </c>
      <c r="U35" s="6">
        <f t="shared" si="1"/>
        <v>14170</v>
      </c>
    </row>
    <row r="36" spans="1:21" s="7" customFormat="1" ht="41.25" hidden="1" customHeight="1" outlineLevel="2" x14ac:dyDescent="0.2">
      <c r="A36" s="210"/>
      <c r="B36" s="26"/>
      <c r="C36" s="112" t="s">
        <v>31</v>
      </c>
      <c r="D36" s="15" t="s">
        <v>25</v>
      </c>
      <c r="E36" s="8"/>
      <c r="F36" s="24" t="s">
        <v>11</v>
      </c>
      <c r="G36" s="6">
        <v>0</v>
      </c>
      <c r="H36" s="9">
        <v>60000</v>
      </c>
      <c r="I36" s="9">
        <v>0</v>
      </c>
      <c r="J36" s="9">
        <v>0</v>
      </c>
      <c r="K36" s="9">
        <v>0</v>
      </c>
      <c r="L36" s="9">
        <f>60000-1000-4500</f>
        <v>54500</v>
      </c>
      <c r="M36" s="9">
        <f>66000</f>
        <v>66000</v>
      </c>
      <c r="N36" s="6">
        <f t="shared" si="0"/>
        <v>180500</v>
      </c>
      <c r="O36" s="9">
        <f>72600-72600</f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180500</v>
      </c>
    </row>
    <row r="37" spans="1:21" s="7" customFormat="1" ht="40.5" hidden="1" outlineLevel="2" x14ac:dyDescent="0.2">
      <c r="A37" s="210"/>
      <c r="B37" s="26"/>
      <c r="C37" s="113" t="s">
        <v>32</v>
      </c>
      <c r="D37" s="95" t="s">
        <v>14</v>
      </c>
      <c r="E37" s="8"/>
      <c r="F37" s="24" t="s">
        <v>11</v>
      </c>
      <c r="G37" s="6">
        <f>30893.1-20000</f>
        <v>10893.099999999999</v>
      </c>
      <c r="H37" s="9">
        <v>0</v>
      </c>
      <c r="I37" s="9">
        <v>33783</v>
      </c>
      <c r="J37" s="9">
        <v>44021.8</v>
      </c>
      <c r="K37" s="9">
        <v>61825.56</v>
      </c>
      <c r="L37" s="9">
        <v>0</v>
      </c>
      <c r="M37" s="9">
        <v>0</v>
      </c>
      <c r="N37" s="6">
        <f t="shared" si="0"/>
        <v>150523.46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6">
        <f t="shared" si="1"/>
        <v>150523.46</v>
      </c>
    </row>
    <row r="38" spans="1:21" s="7" customFormat="1" ht="57" hidden="1" customHeight="1" outlineLevel="2" x14ac:dyDescent="0.2">
      <c r="A38" s="129"/>
      <c r="B38" s="82"/>
      <c r="C38" s="111" t="s">
        <v>33</v>
      </c>
      <c r="D38" s="96" t="s">
        <v>14</v>
      </c>
      <c r="E38" s="75"/>
      <c r="F38" s="24" t="s">
        <v>11</v>
      </c>
      <c r="G38" s="6">
        <v>0</v>
      </c>
      <c r="H38" s="9">
        <v>0</v>
      </c>
      <c r="I38" s="9">
        <v>3000</v>
      </c>
      <c r="J38" s="9">
        <v>2597.8000000000002</v>
      </c>
      <c r="K38" s="9">
        <v>1300</v>
      </c>
      <c r="L38" s="9">
        <v>0</v>
      </c>
      <c r="M38" s="9">
        <v>0</v>
      </c>
      <c r="N38" s="6">
        <f t="shared" si="0"/>
        <v>6897.8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6">
        <f t="shared" si="1"/>
        <v>6897.8</v>
      </c>
    </row>
    <row r="39" spans="1:21" s="7" customFormat="1" ht="38.25" hidden="1" customHeight="1" outlineLevel="1" collapsed="1" x14ac:dyDescent="0.2">
      <c r="A39" s="101"/>
      <c r="B39" s="438"/>
      <c r="C39" s="109" t="s">
        <v>34</v>
      </c>
      <c r="D39" s="141" t="s">
        <v>254</v>
      </c>
      <c r="E39" s="425"/>
      <c r="F39" s="220" t="s">
        <v>11</v>
      </c>
      <c r="G39" s="106">
        <f t="shared" ref="G39:T39" si="2">SUM(G41:G54)</f>
        <v>0</v>
      </c>
      <c r="H39" s="6">
        <f t="shared" si="2"/>
        <v>0</v>
      </c>
      <c r="I39" s="6">
        <f t="shared" si="2"/>
        <v>0</v>
      </c>
      <c r="J39" s="6">
        <f t="shared" si="2"/>
        <v>2300</v>
      </c>
      <c r="K39" s="6">
        <f t="shared" si="2"/>
        <v>0</v>
      </c>
      <c r="L39" s="6">
        <f t="shared" si="2"/>
        <v>15850</v>
      </c>
      <c r="M39" s="6">
        <f t="shared" si="2"/>
        <v>9150</v>
      </c>
      <c r="N39" s="6">
        <f t="shared" si="0"/>
        <v>27300</v>
      </c>
      <c r="O39" s="6">
        <f t="shared" si="2"/>
        <v>19500</v>
      </c>
      <c r="P39" s="6">
        <f t="shared" si="2"/>
        <v>26600</v>
      </c>
      <c r="Q39" s="6">
        <f t="shared" si="2"/>
        <v>0</v>
      </c>
      <c r="R39" s="6">
        <f t="shared" si="2"/>
        <v>0</v>
      </c>
      <c r="S39" s="6">
        <f t="shared" si="2"/>
        <v>0</v>
      </c>
      <c r="T39" s="6">
        <f t="shared" si="2"/>
        <v>0</v>
      </c>
      <c r="U39" s="6">
        <f t="shared" si="1"/>
        <v>73400</v>
      </c>
    </row>
    <row r="40" spans="1:21" s="7" customFormat="1" ht="15.75" hidden="1" customHeight="1" outlineLevel="1" x14ac:dyDescent="0.2">
      <c r="A40" s="8"/>
      <c r="B40" s="439"/>
      <c r="C40" s="109" t="s">
        <v>35</v>
      </c>
      <c r="D40" s="104"/>
      <c r="E40" s="426"/>
      <c r="F40" s="10"/>
      <c r="G40" s="106"/>
      <c r="H40" s="9"/>
      <c r="I40" s="9"/>
      <c r="J40" s="9"/>
      <c r="K40" s="9"/>
      <c r="L40" s="9"/>
      <c r="M40" s="9"/>
      <c r="N40" s="6"/>
      <c r="O40" s="9"/>
      <c r="P40" s="9"/>
      <c r="Q40" s="9"/>
      <c r="R40" s="9"/>
      <c r="S40" s="9"/>
      <c r="T40" s="9"/>
      <c r="U40" s="6"/>
    </row>
    <row r="41" spans="1:21" s="7" customFormat="1" ht="29.25" hidden="1" customHeight="1" outlineLevel="1" x14ac:dyDescent="0.2">
      <c r="A41" s="8"/>
      <c r="B41" s="439"/>
      <c r="C41" s="109" t="s">
        <v>36</v>
      </c>
      <c r="D41" s="104"/>
      <c r="E41" s="426"/>
      <c r="F41" s="10"/>
      <c r="G41" s="105">
        <v>0</v>
      </c>
      <c r="H41" s="16">
        <v>0</v>
      </c>
      <c r="I41" s="16">
        <v>0</v>
      </c>
      <c r="J41" s="16">
        <v>0</v>
      </c>
      <c r="K41" s="16">
        <v>0</v>
      </c>
      <c r="L41" s="17">
        <v>3500</v>
      </c>
      <c r="M41" s="17">
        <f>900-350-350</f>
        <v>200</v>
      </c>
      <c r="N41" s="6">
        <f t="shared" si="0"/>
        <v>3700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6">
        <f t="shared" si="1"/>
        <v>3700</v>
      </c>
    </row>
    <row r="42" spans="1:21" s="7" customFormat="1" ht="19.5" hidden="1" customHeight="1" outlineLevel="1" x14ac:dyDescent="0.2">
      <c r="A42" s="8"/>
      <c r="B42" s="439"/>
      <c r="C42" s="109" t="s">
        <v>37</v>
      </c>
      <c r="D42" s="104"/>
      <c r="E42" s="426"/>
      <c r="F42" s="10"/>
      <c r="G42" s="105">
        <v>0</v>
      </c>
      <c r="H42" s="16">
        <v>0</v>
      </c>
      <c r="I42" s="16">
        <v>0</v>
      </c>
      <c r="J42" s="16">
        <v>2300</v>
      </c>
      <c r="K42" s="16">
        <v>0</v>
      </c>
      <c r="L42" s="17">
        <f>5100-450</f>
        <v>4650</v>
      </c>
      <c r="M42" s="17">
        <v>2800</v>
      </c>
      <c r="N42" s="6">
        <f t="shared" si="0"/>
        <v>9750</v>
      </c>
      <c r="O42" s="17">
        <v>0</v>
      </c>
      <c r="P42" s="17">
        <v>5500</v>
      </c>
      <c r="Q42" s="17">
        <f>5200-5200</f>
        <v>0</v>
      </c>
      <c r="R42" s="17">
        <v>0</v>
      </c>
      <c r="S42" s="17">
        <v>0</v>
      </c>
      <c r="T42" s="17">
        <f>5500-5500</f>
        <v>0</v>
      </c>
      <c r="U42" s="6">
        <f t="shared" si="1"/>
        <v>15250</v>
      </c>
    </row>
    <row r="43" spans="1:21" s="7" customFormat="1" ht="18.75" hidden="1" customHeight="1" outlineLevel="1" x14ac:dyDescent="0.2">
      <c r="A43" s="8"/>
      <c r="B43" s="439"/>
      <c r="C43" s="109" t="s">
        <v>38</v>
      </c>
      <c r="D43" s="104"/>
      <c r="E43" s="426"/>
      <c r="F43" s="10"/>
      <c r="G43" s="105">
        <v>0</v>
      </c>
      <c r="H43" s="16">
        <v>0</v>
      </c>
      <c r="I43" s="16">
        <v>0</v>
      </c>
      <c r="J43" s="16">
        <v>0</v>
      </c>
      <c r="K43" s="16">
        <v>0</v>
      </c>
      <c r="L43" s="17">
        <f>4000+375</f>
        <v>4375</v>
      </c>
      <c r="M43" s="17">
        <v>4300</v>
      </c>
      <c r="N43" s="6">
        <f t="shared" si="0"/>
        <v>8675</v>
      </c>
      <c r="O43" s="17">
        <f>4500+1600</f>
        <v>6100</v>
      </c>
      <c r="P43" s="17">
        <f>7000+500-1260</f>
        <v>6240</v>
      </c>
      <c r="Q43" s="17">
        <f>6500-6500</f>
        <v>0</v>
      </c>
      <c r="R43" s="17">
        <v>0</v>
      </c>
      <c r="S43" s="17">
        <v>0</v>
      </c>
      <c r="T43" s="17">
        <v>0</v>
      </c>
      <c r="U43" s="6">
        <f t="shared" si="1"/>
        <v>21015</v>
      </c>
    </row>
    <row r="44" spans="1:21" s="7" customFormat="1" ht="18" hidden="1" customHeight="1" outlineLevel="1" x14ac:dyDescent="0.2">
      <c r="A44" s="8"/>
      <c r="B44" s="439"/>
      <c r="C44" s="109" t="s">
        <v>39</v>
      </c>
      <c r="D44" s="104"/>
      <c r="E44" s="426"/>
      <c r="F44" s="10"/>
      <c r="G44" s="105">
        <v>0</v>
      </c>
      <c r="H44" s="16">
        <v>0</v>
      </c>
      <c r="I44" s="16">
        <v>0</v>
      </c>
      <c r="J44" s="16">
        <v>0</v>
      </c>
      <c r="K44" s="16">
        <v>0</v>
      </c>
      <c r="L44" s="17">
        <v>0</v>
      </c>
      <c r="M44" s="17">
        <f>850+350</f>
        <v>1200</v>
      </c>
      <c r="N44" s="6">
        <f t="shared" si="0"/>
        <v>1200</v>
      </c>
      <c r="O44" s="17">
        <f>735-735</f>
        <v>0</v>
      </c>
      <c r="P44" s="17">
        <f>1713.6</f>
        <v>1713.6</v>
      </c>
      <c r="Q44" s="17">
        <f>1200-1200</f>
        <v>0</v>
      </c>
      <c r="R44" s="17">
        <f>1300-1300</f>
        <v>0</v>
      </c>
      <c r="S44" s="17">
        <v>0</v>
      </c>
      <c r="T44" s="17">
        <v>0</v>
      </c>
      <c r="U44" s="6">
        <f t="shared" si="1"/>
        <v>2913.6000000000004</v>
      </c>
    </row>
    <row r="45" spans="1:21" s="7" customFormat="1" ht="18" hidden="1" customHeight="1" outlineLevel="1" x14ac:dyDescent="0.2">
      <c r="A45" s="8"/>
      <c r="B45" s="439"/>
      <c r="C45" s="109" t="s">
        <v>40</v>
      </c>
      <c r="D45" s="104"/>
      <c r="E45" s="426"/>
      <c r="F45" s="10"/>
      <c r="G45" s="105">
        <v>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  <c r="M45" s="17">
        <f>300+350</f>
        <v>650</v>
      </c>
      <c r="N45" s="6">
        <f t="shared" si="0"/>
        <v>650</v>
      </c>
      <c r="O45" s="17">
        <v>0</v>
      </c>
      <c r="P45" s="17">
        <v>0</v>
      </c>
      <c r="Q45" s="17">
        <f>250-250</f>
        <v>0</v>
      </c>
      <c r="R45" s="17">
        <f>300-300</f>
        <v>0</v>
      </c>
      <c r="S45" s="17">
        <v>0</v>
      </c>
      <c r="T45" s="17">
        <v>0</v>
      </c>
      <c r="U45" s="6">
        <f t="shared" si="1"/>
        <v>650</v>
      </c>
    </row>
    <row r="46" spans="1:21" s="7" customFormat="1" ht="17.25" hidden="1" customHeight="1" outlineLevel="1" x14ac:dyDescent="0.2">
      <c r="A46" s="8"/>
      <c r="B46" s="439"/>
      <c r="C46" s="109" t="s">
        <v>41</v>
      </c>
      <c r="D46" s="104"/>
      <c r="E46" s="10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2875</v>
      </c>
      <c r="M46" s="17">
        <v>0</v>
      </c>
      <c r="N46" s="6">
        <f t="shared" si="0"/>
        <v>2875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2875</v>
      </c>
    </row>
    <row r="47" spans="1:21" s="7" customFormat="1" ht="21" hidden="1" customHeight="1" outlineLevel="1" x14ac:dyDescent="0.2">
      <c r="A47" s="8"/>
      <c r="B47" s="11"/>
      <c r="C47" s="109" t="s">
        <v>42</v>
      </c>
      <c r="D47" s="104"/>
      <c r="E47" s="10"/>
      <c r="F47" s="10"/>
      <c r="G47" s="105">
        <v>0</v>
      </c>
      <c r="H47" s="16">
        <v>0</v>
      </c>
      <c r="I47" s="16">
        <v>0</v>
      </c>
      <c r="J47" s="16">
        <v>0</v>
      </c>
      <c r="K47" s="16">
        <v>0</v>
      </c>
      <c r="L47" s="17">
        <v>450</v>
      </c>
      <c r="M47" s="16">
        <v>0</v>
      </c>
      <c r="N47" s="6">
        <f t="shared" si="0"/>
        <v>450</v>
      </c>
      <c r="O47" s="16">
        <v>0</v>
      </c>
      <c r="P47" s="16">
        <v>0</v>
      </c>
      <c r="Q47" s="16">
        <f>300-300</f>
        <v>0</v>
      </c>
      <c r="R47" s="16">
        <f>300-300</f>
        <v>0</v>
      </c>
      <c r="S47" s="16">
        <f>300-300</f>
        <v>0</v>
      </c>
      <c r="T47" s="16">
        <v>0</v>
      </c>
      <c r="U47" s="6">
        <f t="shared" si="1"/>
        <v>450</v>
      </c>
    </row>
    <row r="48" spans="1:21" s="7" customFormat="1" ht="30" hidden="1" customHeight="1" outlineLevel="1" x14ac:dyDescent="0.2">
      <c r="A48" s="8"/>
      <c r="B48" s="11"/>
      <c r="C48" s="110" t="s">
        <v>263</v>
      </c>
      <c r="D48" s="23"/>
      <c r="E48" s="10"/>
      <c r="F48" s="10"/>
      <c r="G48" s="107">
        <v>0</v>
      </c>
      <c r="H48" s="20">
        <v>0</v>
      </c>
      <c r="I48" s="20">
        <v>0</v>
      </c>
      <c r="J48" s="20">
        <v>0</v>
      </c>
      <c r="K48" s="20">
        <v>0</v>
      </c>
      <c r="L48" s="21">
        <v>0</v>
      </c>
      <c r="M48" s="20">
        <v>0</v>
      </c>
      <c r="N48" s="6">
        <f t="shared" si="0"/>
        <v>0</v>
      </c>
      <c r="O48" s="20">
        <v>6000</v>
      </c>
      <c r="P48" s="20">
        <f>7500-453.6</f>
        <v>7046.4</v>
      </c>
      <c r="Q48" s="20">
        <v>0</v>
      </c>
      <c r="R48" s="20">
        <v>0</v>
      </c>
      <c r="S48" s="20">
        <v>0</v>
      </c>
      <c r="T48" s="20">
        <v>0</v>
      </c>
      <c r="U48" s="6">
        <f t="shared" si="1"/>
        <v>13046.4</v>
      </c>
    </row>
    <row r="49" spans="1:21" s="7" customFormat="1" ht="28.5" hidden="1" customHeight="1" outlineLevel="1" x14ac:dyDescent="0.2">
      <c r="A49" s="8"/>
      <c r="B49" s="11"/>
      <c r="C49" s="109" t="s">
        <v>43</v>
      </c>
      <c r="D49" s="23"/>
      <c r="E49" s="10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6">
        <v>0</v>
      </c>
      <c r="N49" s="6">
        <f t="shared" si="0"/>
        <v>0</v>
      </c>
      <c r="O49" s="16">
        <v>5200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6">
        <f t="shared" si="1"/>
        <v>5200</v>
      </c>
    </row>
    <row r="50" spans="1:21" s="7" customFormat="1" ht="23.25" hidden="1" customHeight="1" outlineLevel="1" x14ac:dyDescent="0.2">
      <c r="A50" s="8"/>
      <c r="B50" s="11"/>
      <c r="C50" s="109" t="s">
        <v>44</v>
      </c>
      <c r="D50" s="23"/>
      <c r="E50" s="10"/>
      <c r="F50" s="10"/>
      <c r="G50" s="105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6">
        <v>0</v>
      </c>
      <c r="N50" s="6">
        <f t="shared" si="0"/>
        <v>0</v>
      </c>
      <c r="O50" s="16">
        <v>2200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6">
        <f t="shared" si="1"/>
        <v>2200</v>
      </c>
    </row>
    <row r="51" spans="1:21" s="7" customFormat="1" ht="21.75" hidden="1" customHeight="1" outlineLevel="1" x14ac:dyDescent="0.2">
      <c r="A51" s="8"/>
      <c r="B51" s="11"/>
      <c r="C51" s="110" t="s">
        <v>45</v>
      </c>
      <c r="D51" s="23"/>
      <c r="E51" s="10"/>
      <c r="F51" s="19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6">
        <f t="shared" si="0"/>
        <v>0</v>
      </c>
      <c r="O51" s="16">
        <v>0</v>
      </c>
      <c r="P51" s="16">
        <v>0</v>
      </c>
      <c r="Q51" s="16">
        <f>1000-1000</f>
        <v>0</v>
      </c>
      <c r="R51" s="16">
        <v>0</v>
      </c>
      <c r="S51" s="16">
        <v>0</v>
      </c>
      <c r="T51" s="16">
        <v>0</v>
      </c>
      <c r="U51" s="6">
        <f t="shared" si="1"/>
        <v>0</v>
      </c>
    </row>
    <row r="52" spans="1:21" s="7" customFormat="1" ht="21.75" hidden="1" customHeight="1" outlineLevel="1" x14ac:dyDescent="0.2">
      <c r="A52" s="8"/>
      <c r="B52" s="11"/>
      <c r="C52" s="110" t="s">
        <v>46</v>
      </c>
      <c r="D52" s="23"/>
      <c r="E52" s="10"/>
      <c r="F52" s="19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6">
        <f t="shared" si="0"/>
        <v>0</v>
      </c>
      <c r="O52" s="16">
        <v>0</v>
      </c>
      <c r="P52" s="16">
        <v>0</v>
      </c>
      <c r="Q52" s="16">
        <v>0</v>
      </c>
      <c r="R52" s="16">
        <f>7000-7000</f>
        <v>0</v>
      </c>
      <c r="S52" s="16">
        <v>0</v>
      </c>
      <c r="T52" s="16">
        <v>0</v>
      </c>
      <c r="U52" s="6">
        <f t="shared" si="1"/>
        <v>0</v>
      </c>
    </row>
    <row r="53" spans="1:21" s="7" customFormat="1" ht="21.75" hidden="1" customHeight="1" outlineLevel="1" x14ac:dyDescent="0.2">
      <c r="A53" s="8"/>
      <c r="B53" s="11"/>
      <c r="C53" s="110" t="s">
        <v>47</v>
      </c>
      <c r="D53" s="23"/>
      <c r="E53" s="10"/>
      <c r="F53" s="19"/>
      <c r="G53" s="105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6">
        <f t="shared" si="0"/>
        <v>0</v>
      </c>
      <c r="O53" s="16">
        <v>0</v>
      </c>
      <c r="P53" s="16">
        <v>0</v>
      </c>
      <c r="Q53" s="16">
        <f>4800-4800</f>
        <v>0</v>
      </c>
      <c r="R53" s="16">
        <v>0</v>
      </c>
      <c r="S53" s="16">
        <f>5000-5000</f>
        <v>0</v>
      </c>
      <c r="T53" s="16">
        <v>0</v>
      </c>
      <c r="U53" s="6">
        <f t="shared" si="1"/>
        <v>0</v>
      </c>
    </row>
    <row r="54" spans="1:21" s="7" customFormat="1" ht="24.75" hidden="1" customHeight="1" outlineLevel="1" x14ac:dyDescent="0.2">
      <c r="A54" s="8"/>
      <c r="B54" s="11"/>
      <c r="C54" s="110" t="s">
        <v>48</v>
      </c>
      <c r="D54" s="136"/>
      <c r="E54" s="10"/>
      <c r="F54" s="108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6">
        <f t="shared" si="0"/>
        <v>0</v>
      </c>
      <c r="O54" s="16">
        <v>0</v>
      </c>
      <c r="P54" s="16">
        <v>6100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6100</v>
      </c>
    </row>
    <row r="55" spans="1:21" s="7" customFormat="1" ht="48.75" hidden="1" customHeight="1" outlineLevel="2" x14ac:dyDescent="0.2">
      <c r="A55" s="8"/>
      <c r="B55" s="11"/>
      <c r="C55" s="138" t="s">
        <v>49</v>
      </c>
      <c r="D55" s="142" t="s">
        <v>50</v>
      </c>
      <c r="E55" s="10"/>
      <c r="F55" s="24" t="s">
        <v>11</v>
      </c>
      <c r="G55" s="6">
        <v>0</v>
      </c>
      <c r="H55" s="6">
        <v>0</v>
      </c>
      <c r="I55" s="6">
        <v>0</v>
      </c>
      <c r="J55" s="6">
        <v>2000</v>
      </c>
      <c r="K55" s="6">
        <v>1760.9</v>
      </c>
      <c r="L55" s="6">
        <f>2000+2100</f>
        <v>4100</v>
      </c>
      <c r="M55" s="6">
        <f>2500+3000+2149.3</f>
        <v>7649.3</v>
      </c>
      <c r="N55" s="6">
        <f t="shared" si="0"/>
        <v>15510.2</v>
      </c>
      <c r="O55" s="6">
        <f>3000+10000+2000+13790</f>
        <v>28790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f t="shared" si="1"/>
        <v>44300.2</v>
      </c>
    </row>
    <row r="56" spans="1:21" s="7" customFormat="1" ht="53.25" hidden="1" customHeight="1" outlineLevel="2" x14ac:dyDescent="0.2">
      <c r="A56" s="8"/>
      <c r="B56" s="11"/>
      <c r="C56" s="139" t="s">
        <v>51</v>
      </c>
      <c r="D56" s="136" t="s">
        <v>50</v>
      </c>
      <c r="E56" s="10"/>
      <c r="F56" s="24" t="s">
        <v>11</v>
      </c>
      <c r="G56" s="6">
        <v>0</v>
      </c>
      <c r="H56" s="6">
        <v>0</v>
      </c>
      <c r="I56" s="6">
        <v>0</v>
      </c>
      <c r="J56" s="6">
        <v>7900</v>
      </c>
      <c r="K56" s="6">
        <v>6611.6</v>
      </c>
      <c r="L56" s="6">
        <v>10000</v>
      </c>
      <c r="M56" s="6">
        <f>14000-2149.3</f>
        <v>11850.7</v>
      </c>
      <c r="N56" s="6">
        <f t="shared" si="0"/>
        <v>36362.300000000003</v>
      </c>
      <c r="O56" s="6">
        <f>20000-10000</f>
        <v>10000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f t="shared" si="1"/>
        <v>46362.3</v>
      </c>
    </row>
    <row r="57" spans="1:21" s="7" customFormat="1" ht="40.5" hidden="1" customHeight="1" outlineLevel="2" x14ac:dyDescent="0.2">
      <c r="A57" s="8"/>
      <c r="B57" s="11"/>
      <c r="C57" s="138" t="s">
        <v>52</v>
      </c>
      <c r="D57" s="137" t="s">
        <v>50</v>
      </c>
      <c r="E57" s="10"/>
      <c r="F57" s="24" t="s">
        <v>11</v>
      </c>
      <c r="G57" s="6">
        <v>0</v>
      </c>
      <c r="H57" s="6">
        <v>0</v>
      </c>
      <c r="I57" s="6">
        <v>0</v>
      </c>
      <c r="J57" s="6">
        <v>1600</v>
      </c>
      <c r="K57" s="6">
        <v>5500</v>
      </c>
      <c r="L57" s="6">
        <f>7600-3900</f>
        <v>3700</v>
      </c>
      <c r="M57" s="6">
        <f>8360-8360</f>
        <v>0</v>
      </c>
      <c r="N57" s="6">
        <f t="shared" si="0"/>
        <v>10800</v>
      </c>
      <c r="O57" s="6">
        <f>9200-9200</f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f t="shared" si="1"/>
        <v>10800</v>
      </c>
    </row>
    <row r="58" spans="1:21" s="7" customFormat="1" ht="57.75" hidden="1" customHeight="1" outlineLevel="1" collapsed="1" x14ac:dyDescent="0.2">
      <c r="A58" s="8"/>
      <c r="B58" s="11"/>
      <c r="C58" s="140" t="s">
        <v>53</v>
      </c>
      <c r="D58" s="98" t="s">
        <v>50</v>
      </c>
      <c r="E58" s="10"/>
      <c r="F58" s="24" t="s">
        <v>11</v>
      </c>
      <c r="G58" s="6">
        <v>0</v>
      </c>
      <c r="H58" s="9">
        <v>0</v>
      </c>
      <c r="I58" s="9">
        <v>0</v>
      </c>
      <c r="J58" s="9">
        <v>6000</v>
      </c>
      <c r="K58" s="9">
        <v>13000</v>
      </c>
      <c r="L58" s="9">
        <v>1260</v>
      </c>
      <c r="M58" s="9">
        <v>1385</v>
      </c>
      <c r="N58" s="6">
        <f t="shared" si="0"/>
        <v>21645</v>
      </c>
      <c r="O58" s="9">
        <v>1525</v>
      </c>
      <c r="P58" s="9">
        <v>0</v>
      </c>
      <c r="Q58" s="9">
        <f>1300-1300</f>
        <v>0</v>
      </c>
      <c r="R58" s="9">
        <f>1500-1500</f>
        <v>0</v>
      </c>
      <c r="S58" s="9">
        <f>2000-2000</f>
        <v>0</v>
      </c>
      <c r="T58" s="9">
        <f>2500-2500</f>
        <v>0</v>
      </c>
      <c r="U58" s="6">
        <f t="shared" si="1"/>
        <v>23170</v>
      </c>
    </row>
    <row r="59" spans="1:21" s="7" customFormat="1" ht="54.75" hidden="1" customHeight="1" outlineLevel="2" x14ac:dyDescent="0.2">
      <c r="A59" s="423"/>
      <c r="B59" s="11"/>
      <c r="C59" s="140" t="s">
        <v>54</v>
      </c>
      <c r="D59" s="98" t="s">
        <v>50</v>
      </c>
      <c r="E59" s="10"/>
      <c r="F59" s="24" t="s">
        <v>11</v>
      </c>
      <c r="G59" s="6">
        <v>0</v>
      </c>
      <c r="H59" s="9">
        <v>0</v>
      </c>
      <c r="I59" s="9">
        <v>0</v>
      </c>
      <c r="J59" s="9">
        <v>2500</v>
      </c>
      <c r="K59" s="9">
        <v>7500</v>
      </c>
      <c r="L59" s="9">
        <v>1835.7</v>
      </c>
      <c r="M59" s="9">
        <f>8500</f>
        <v>8500</v>
      </c>
      <c r="N59" s="6">
        <f t="shared" si="0"/>
        <v>20335.7</v>
      </c>
      <c r="O59" s="9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f t="shared" si="1"/>
        <v>20335.7</v>
      </c>
    </row>
    <row r="60" spans="1:21" s="7" customFormat="1" ht="71.25" hidden="1" customHeight="1" outlineLevel="1" collapsed="1" x14ac:dyDescent="0.2">
      <c r="A60" s="424"/>
      <c r="B60" s="11"/>
      <c r="C60" s="140" t="s">
        <v>268</v>
      </c>
      <c r="D60" s="98" t="s">
        <v>259</v>
      </c>
      <c r="E60" s="10"/>
      <c r="F60" s="24" t="s">
        <v>11</v>
      </c>
      <c r="G60" s="6">
        <v>0</v>
      </c>
      <c r="H60" s="9">
        <v>0</v>
      </c>
      <c r="I60" s="9">
        <v>0</v>
      </c>
      <c r="J60" s="9">
        <v>0</v>
      </c>
      <c r="K60" s="9">
        <v>1000</v>
      </c>
      <c r="L60" s="9">
        <v>10000</v>
      </c>
      <c r="M60" s="9">
        <f>10000-8500</f>
        <v>1500</v>
      </c>
      <c r="N60" s="6">
        <f t="shared" si="0"/>
        <v>12500</v>
      </c>
      <c r="O60" s="9">
        <v>0</v>
      </c>
      <c r="P60" s="9">
        <v>0</v>
      </c>
      <c r="Q60" s="9">
        <f>1000-1000</f>
        <v>0</v>
      </c>
      <c r="R60" s="9">
        <v>0</v>
      </c>
      <c r="S60" s="9">
        <v>0</v>
      </c>
      <c r="T60" s="9">
        <v>0</v>
      </c>
      <c r="U60" s="6">
        <f t="shared" si="1"/>
        <v>12500</v>
      </c>
    </row>
    <row r="61" spans="1:21" s="7" customFormat="1" ht="46.5" hidden="1" customHeight="1" outlineLevel="2" x14ac:dyDescent="0.2">
      <c r="A61" s="8"/>
      <c r="B61" s="11"/>
      <c r="C61" s="140" t="s">
        <v>55</v>
      </c>
      <c r="D61" s="98" t="s">
        <v>56</v>
      </c>
      <c r="E61" s="10"/>
      <c r="F61" s="24" t="s">
        <v>11</v>
      </c>
      <c r="G61" s="6">
        <v>0</v>
      </c>
      <c r="H61" s="9">
        <v>0</v>
      </c>
      <c r="I61" s="9">
        <v>0</v>
      </c>
      <c r="J61" s="9">
        <v>0</v>
      </c>
      <c r="K61" s="9">
        <v>7950</v>
      </c>
      <c r="L61" s="9">
        <v>0</v>
      </c>
      <c r="M61" s="9">
        <v>0</v>
      </c>
      <c r="N61" s="6">
        <f t="shared" si="0"/>
        <v>7950</v>
      </c>
      <c r="O61" s="9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7950</v>
      </c>
    </row>
    <row r="62" spans="1:21" s="7" customFormat="1" ht="42.75" hidden="1" customHeight="1" outlineLevel="2" x14ac:dyDescent="0.2">
      <c r="A62" s="8"/>
      <c r="B62" s="11"/>
      <c r="C62" s="140" t="s">
        <v>57</v>
      </c>
      <c r="D62" s="98" t="s">
        <v>50</v>
      </c>
      <c r="E62" s="10"/>
      <c r="F62" s="24" t="s">
        <v>11</v>
      </c>
      <c r="G62" s="6">
        <v>0</v>
      </c>
      <c r="H62" s="9">
        <v>0</v>
      </c>
      <c r="I62" s="9">
        <v>0</v>
      </c>
      <c r="J62" s="9">
        <v>0</v>
      </c>
      <c r="K62" s="9">
        <v>1000</v>
      </c>
      <c r="L62" s="9">
        <v>10000</v>
      </c>
      <c r="M62" s="9">
        <f>4000-2250</f>
        <v>1750</v>
      </c>
      <c r="N62" s="6">
        <f t="shared" si="0"/>
        <v>12750</v>
      </c>
      <c r="O62" s="9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12750</v>
      </c>
    </row>
    <row r="63" spans="1:21" s="7" customFormat="1" ht="47.25" hidden="1" customHeight="1" outlineLevel="2" x14ac:dyDescent="0.2">
      <c r="A63" s="8"/>
      <c r="B63" s="11"/>
      <c r="C63" s="139" t="s">
        <v>58</v>
      </c>
      <c r="D63" s="99" t="s">
        <v>59</v>
      </c>
      <c r="E63" s="206"/>
      <c r="F63" s="24" t="s">
        <v>11</v>
      </c>
      <c r="G63" s="6">
        <v>0</v>
      </c>
      <c r="H63" s="9">
        <v>0</v>
      </c>
      <c r="I63" s="9">
        <v>0</v>
      </c>
      <c r="J63" s="9">
        <v>0</v>
      </c>
      <c r="K63" s="9">
        <v>0</v>
      </c>
      <c r="L63" s="9">
        <v>2000</v>
      </c>
      <c r="M63" s="9">
        <v>7000</v>
      </c>
      <c r="N63" s="6">
        <f t="shared" si="0"/>
        <v>9000</v>
      </c>
      <c r="O63" s="9">
        <v>10000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f t="shared" si="1"/>
        <v>19000</v>
      </c>
    </row>
    <row r="64" spans="1:21" s="7" customFormat="1" ht="52.5" hidden="1" customHeight="1" outlineLevel="1" collapsed="1" x14ac:dyDescent="0.2">
      <c r="A64" s="8"/>
      <c r="B64" s="11"/>
      <c r="C64" s="110" t="s">
        <v>60</v>
      </c>
      <c r="D64" s="136" t="s">
        <v>260</v>
      </c>
      <c r="E64" s="206"/>
      <c r="F64" s="24" t="s">
        <v>11</v>
      </c>
      <c r="G64" s="6">
        <v>0</v>
      </c>
      <c r="H64" s="9">
        <v>0</v>
      </c>
      <c r="I64" s="9">
        <v>0</v>
      </c>
      <c r="J64" s="9">
        <v>0</v>
      </c>
      <c r="K64" s="9">
        <v>0</v>
      </c>
      <c r="L64" s="9">
        <v>2000</v>
      </c>
      <c r="M64" s="9">
        <v>2000</v>
      </c>
      <c r="N64" s="6">
        <f t="shared" si="0"/>
        <v>4000</v>
      </c>
      <c r="O64" s="9">
        <v>0</v>
      </c>
      <c r="P64" s="9">
        <v>0</v>
      </c>
      <c r="Q64" s="9">
        <v>0</v>
      </c>
      <c r="R64" s="9">
        <f>5000-5000</f>
        <v>0</v>
      </c>
      <c r="S64" s="9">
        <v>0</v>
      </c>
      <c r="T64" s="9">
        <v>0</v>
      </c>
      <c r="U64" s="6">
        <f t="shared" si="1"/>
        <v>4000</v>
      </c>
    </row>
    <row r="65" spans="1:21" s="7" customFormat="1" ht="71.25" hidden="1" customHeight="1" outlineLevel="1" x14ac:dyDescent="0.2">
      <c r="A65" s="8"/>
      <c r="B65" s="11"/>
      <c r="C65" s="14" t="s">
        <v>62</v>
      </c>
      <c r="D65" s="142" t="s">
        <v>260</v>
      </c>
      <c r="E65" s="206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0</v>
      </c>
      <c r="L65" s="9">
        <v>2000</v>
      </c>
      <c r="M65" s="9">
        <v>2000</v>
      </c>
      <c r="N65" s="6">
        <f t="shared" si="0"/>
        <v>4000</v>
      </c>
      <c r="O65" s="9">
        <v>0</v>
      </c>
      <c r="P65" s="9">
        <v>0</v>
      </c>
      <c r="Q65" s="9">
        <f>4200-4200</f>
        <v>0</v>
      </c>
      <c r="R65" s="9">
        <v>0</v>
      </c>
      <c r="S65" s="9">
        <v>0</v>
      </c>
      <c r="T65" s="9">
        <v>0</v>
      </c>
      <c r="U65" s="6">
        <f t="shared" si="1"/>
        <v>4000</v>
      </c>
    </row>
    <row r="66" spans="1:21" s="7" customFormat="1" ht="44.25" hidden="1" customHeight="1" outlineLevel="1" x14ac:dyDescent="0.2">
      <c r="A66" s="8"/>
      <c r="B66" s="11"/>
      <c r="C66" s="138" t="s">
        <v>63</v>
      </c>
      <c r="D66" s="137" t="s">
        <v>255</v>
      </c>
      <c r="E66" s="206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0</v>
      </c>
      <c r="L66" s="9">
        <f>500+1000</f>
        <v>1500</v>
      </c>
      <c r="M66" s="9">
        <v>1000</v>
      </c>
      <c r="N66" s="6">
        <f t="shared" si="0"/>
        <v>2500</v>
      </c>
      <c r="O66" s="9">
        <v>1500</v>
      </c>
      <c r="P66" s="9">
        <v>2000</v>
      </c>
      <c r="Q66" s="9">
        <f>3000-3000</f>
        <v>0</v>
      </c>
      <c r="R66" s="9">
        <f>8000-8000</f>
        <v>0</v>
      </c>
      <c r="S66" s="9">
        <f>10000-10000</f>
        <v>0</v>
      </c>
      <c r="T66" s="9">
        <f>10000-10000</f>
        <v>0</v>
      </c>
      <c r="U66" s="6">
        <f t="shared" si="1"/>
        <v>6000</v>
      </c>
    </row>
    <row r="67" spans="1:21" s="7" customFormat="1" ht="45.75" hidden="1" customHeight="1" outlineLevel="1" x14ac:dyDescent="0.2">
      <c r="A67" s="8"/>
      <c r="B67" s="421"/>
      <c r="C67" s="140" t="s">
        <v>64</v>
      </c>
      <c r="D67" s="98" t="s">
        <v>260</v>
      </c>
      <c r="E67" s="206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0</v>
      </c>
      <c r="L67" s="9">
        <v>1000</v>
      </c>
      <c r="M67" s="9">
        <v>3000</v>
      </c>
      <c r="N67" s="6">
        <f t="shared" si="0"/>
        <v>4000</v>
      </c>
      <c r="O67" s="9">
        <f>3000-3000</f>
        <v>0</v>
      </c>
      <c r="P67" s="9">
        <v>0</v>
      </c>
      <c r="Q67" s="9">
        <f>1500-1500</f>
        <v>0</v>
      </c>
      <c r="R67" s="9">
        <f>2000-2000</f>
        <v>0</v>
      </c>
      <c r="S67" s="9">
        <v>0</v>
      </c>
      <c r="T67" s="9">
        <v>0</v>
      </c>
      <c r="U67" s="6">
        <f t="shared" si="1"/>
        <v>4000</v>
      </c>
    </row>
    <row r="68" spans="1:21" s="7" customFormat="1" ht="46.5" hidden="1" customHeight="1" outlineLevel="1" x14ac:dyDescent="0.2">
      <c r="A68" s="423"/>
      <c r="B68" s="422"/>
      <c r="C68" s="140" t="s">
        <v>264</v>
      </c>
      <c r="D68" s="98" t="s">
        <v>260</v>
      </c>
      <c r="E68" s="206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6500</v>
      </c>
      <c r="N68" s="6">
        <f t="shared" si="0"/>
        <v>6500</v>
      </c>
      <c r="O68" s="9">
        <v>0</v>
      </c>
      <c r="P68" s="9">
        <v>0</v>
      </c>
      <c r="Q68" s="9">
        <v>0</v>
      </c>
      <c r="R68" s="9">
        <f>5500-5500</f>
        <v>0</v>
      </c>
      <c r="S68" s="9">
        <v>0</v>
      </c>
      <c r="T68" s="9">
        <v>0</v>
      </c>
      <c r="U68" s="6">
        <f t="shared" si="1"/>
        <v>6500</v>
      </c>
    </row>
    <row r="69" spans="1:21" s="7" customFormat="1" ht="45" hidden="1" customHeight="1" outlineLevel="1" x14ac:dyDescent="0.2">
      <c r="A69" s="424"/>
      <c r="B69" s="422"/>
      <c r="C69" s="140" t="s">
        <v>65</v>
      </c>
      <c r="D69" s="98" t="s">
        <v>260</v>
      </c>
      <c r="E69" s="206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f>10000-2100</f>
        <v>7900</v>
      </c>
      <c r="M69" s="9">
        <v>0</v>
      </c>
      <c r="N69" s="6">
        <f t="shared" si="0"/>
        <v>7900</v>
      </c>
      <c r="O69" s="9">
        <v>0</v>
      </c>
      <c r="P69" s="9">
        <v>0</v>
      </c>
      <c r="Q69" s="9">
        <f>300-300</f>
        <v>0</v>
      </c>
      <c r="R69" s="9">
        <f>300-300</f>
        <v>0</v>
      </c>
      <c r="S69" s="9">
        <v>0</v>
      </c>
      <c r="T69" s="9">
        <v>0</v>
      </c>
      <c r="U69" s="6">
        <f t="shared" si="1"/>
        <v>7900</v>
      </c>
    </row>
    <row r="70" spans="1:21" s="7" customFormat="1" ht="44.25" hidden="1" customHeight="1" outlineLevel="1" x14ac:dyDescent="0.2">
      <c r="A70" s="75"/>
      <c r="B70" s="13"/>
      <c r="C70" s="139" t="s">
        <v>213</v>
      </c>
      <c r="D70" s="99" t="s">
        <v>61</v>
      </c>
      <c r="E70" s="127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51559</v>
      </c>
      <c r="M70" s="9">
        <v>50074</v>
      </c>
      <c r="N70" s="6">
        <f t="shared" si="0"/>
        <v>101633</v>
      </c>
      <c r="O70" s="9">
        <v>51535</v>
      </c>
      <c r="P70" s="9">
        <v>63296.71587</v>
      </c>
      <c r="Q70" s="9">
        <f>69180.47911+3210.84737</f>
        <v>72391.326480000003</v>
      </c>
      <c r="R70" s="9">
        <f>62949.17669+9104.43512</f>
        <v>72053.611810000002</v>
      </c>
      <c r="S70" s="9">
        <f>59681.44191+8050.71317</f>
        <v>67732.155079999997</v>
      </c>
      <c r="T70" s="9">
        <v>56045.670409999999</v>
      </c>
      <c r="U70" s="6">
        <f t="shared" si="1"/>
        <v>484687.47965000011</v>
      </c>
    </row>
    <row r="71" spans="1:21" s="7" customFormat="1" ht="57" hidden="1" customHeight="1" outlineLevel="1" x14ac:dyDescent="0.2">
      <c r="A71" s="196"/>
      <c r="B71" s="221"/>
      <c r="C71" s="14" t="s">
        <v>66</v>
      </c>
      <c r="D71" s="135" t="s">
        <v>61</v>
      </c>
      <c r="E71" s="203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307183.1-2334.6</f>
        <v>304848.5</v>
      </c>
      <c r="M71" s="6">
        <f>361442.2-1000</f>
        <v>360442.2</v>
      </c>
      <c r="N71" s="6">
        <f t="shared" si="0"/>
        <v>665290.69999999995</v>
      </c>
      <c r="O71" s="6">
        <v>449833.8</v>
      </c>
      <c r="P71" s="6">
        <v>550038.13575999998</v>
      </c>
      <c r="Q71" s="6">
        <f>575145.27782-103285.28</f>
        <v>471859.99781999993</v>
      </c>
      <c r="R71" s="6">
        <f>618980.48228-102360.48</f>
        <v>516620.00228000002</v>
      </c>
      <c r="S71" s="6">
        <f>666502.23373-135402.23</f>
        <v>531100.00373</v>
      </c>
      <c r="T71" s="6">
        <f>720843.0943-136633.09</f>
        <v>584210.00430000003</v>
      </c>
      <c r="U71" s="6">
        <f t="shared" si="1"/>
        <v>3768952.6438899999</v>
      </c>
    </row>
    <row r="72" spans="1:21" s="7" customFormat="1" ht="159.75" customHeight="1" collapsed="1" x14ac:dyDescent="0.2">
      <c r="A72" s="75">
        <v>1</v>
      </c>
      <c r="B72" s="217" t="s">
        <v>8</v>
      </c>
      <c r="C72" s="228" t="s">
        <v>67</v>
      </c>
      <c r="D72" s="229" t="s">
        <v>283</v>
      </c>
      <c r="E72" s="92" t="s">
        <v>271</v>
      </c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27">
        <v>2250</v>
      </c>
      <c r="N72" s="6">
        <f t="shared" si="0"/>
        <v>2250</v>
      </c>
      <c r="O72" s="27">
        <v>0</v>
      </c>
      <c r="P72" s="27">
        <v>3700</v>
      </c>
      <c r="Q72" s="27">
        <f>1500-1500+2980.44</f>
        <v>2980.44</v>
      </c>
      <c r="R72" s="27">
        <v>0</v>
      </c>
      <c r="S72" s="27">
        <v>0</v>
      </c>
      <c r="T72" s="27">
        <v>0</v>
      </c>
      <c r="U72" s="6">
        <f t="shared" si="1"/>
        <v>8930.44</v>
      </c>
    </row>
    <row r="73" spans="1:21" s="7" customFormat="1" ht="45.75" hidden="1" customHeight="1" outlineLevel="1" x14ac:dyDescent="0.2">
      <c r="A73" s="8"/>
      <c r="B73" s="11"/>
      <c r="C73" s="112" t="s">
        <v>68</v>
      </c>
      <c r="D73" s="93" t="s">
        <v>69</v>
      </c>
      <c r="E73" s="211"/>
      <c r="F73" s="108" t="s">
        <v>11</v>
      </c>
      <c r="G73" s="22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2">
        <f>72927.1+5360+16000</f>
        <v>94287.1</v>
      </c>
      <c r="N73" s="22">
        <f t="shared" si="0"/>
        <v>94287.1</v>
      </c>
      <c r="O73" s="22">
        <f>87444.4+18000+9200+4235-2850.5+3000</f>
        <v>119028.9</v>
      </c>
      <c r="P73" s="22">
        <v>241085.13451</v>
      </c>
      <c r="Q73" s="22">
        <f>305345.93681-169945.94</f>
        <v>135399.99680999998</v>
      </c>
      <c r="R73" s="22">
        <f>394183.52027-241853.52</f>
        <v>152330.00026999999</v>
      </c>
      <c r="S73" s="22">
        <f>496402.59255-339402.59</f>
        <v>157000.00254999998</v>
      </c>
      <c r="T73" s="22">
        <f>612403.79011-439703.79</f>
        <v>172700.00010999996</v>
      </c>
      <c r="U73" s="22">
        <f t="shared" si="1"/>
        <v>1071831.1342499999</v>
      </c>
    </row>
    <row r="74" spans="1:21" s="7" customFormat="1" ht="44.25" hidden="1" customHeight="1" outlineLevel="2" x14ac:dyDescent="0.2">
      <c r="A74" s="8"/>
      <c r="B74" s="11"/>
      <c r="C74" s="113" t="s">
        <v>70</v>
      </c>
      <c r="D74" s="95" t="s">
        <v>69</v>
      </c>
      <c r="E74" s="211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6">
        <v>1000</v>
      </c>
      <c r="N74" s="6">
        <f t="shared" si="0"/>
        <v>1000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f t="shared" si="1"/>
        <v>1000</v>
      </c>
    </row>
    <row r="75" spans="1:21" s="7" customFormat="1" ht="40.5" hidden="1" customHeight="1" outlineLevel="1" x14ac:dyDescent="0.2">
      <c r="A75" s="8"/>
      <c r="B75" s="11"/>
      <c r="C75" s="111" t="s">
        <v>265</v>
      </c>
      <c r="D75" s="96" t="s">
        <v>71</v>
      </c>
      <c r="E75" s="211"/>
      <c r="F75" s="24" t="s">
        <v>11</v>
      </c>
      <c r="G75" s="6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6">
        <v>0</v>
      </c>
      <c r="N75" s="6">
        <f t="shared" si="0"/>
        <v>0</v>
      </c>
      <c r="O75" s="6">
        <f>150000-25055</f>
        <v>124945</v>
      </c>
      <c r="P75" s="6">
        <v>140000</v>
      </c>
      <c r="Q75" s="6">
        <f>150000-100000</f>
        <v>50000</v>
      </c>
      <c r="R75" s="6">
        <f>170000-100000</f>
        <v>70000</v>
      </c>
      <c r="S75" s="6">
        <f>185000-100000</f>
        <v>85000</v>
      </c>
      <c r="T75" s="6">
        <f>200000-100000</f>
        <v>100000</v>
      </c>
      <c r="U75" s="6">
        <f t="shared" si="1"/>
        <v>569945</v>
      </c>
    </row>
    <row r="76" spans="1:21" s="7" customFormat="1" ht="44.25" hidden="1" customHeight="1" outlineLevel="1" x14ac:dyDescent="0.2">
      <c r="A76" s="8"/>
      <c r="B76" s="11"/>
      <c r="C76" s="28" t="s">
        <v>72</v>
      </c>
      <c r="D76" s="29" t="s">
        <v>73</v>
      </c>
      <c r="E76" s="125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6">
        <v>0</v>
      </c>
      <c r="N76" s="6">
        <f t="shared" si="0"/>
        <v>0</v>
      </c>
      <c r="O76" s="6">
        <v>0</v>
      </c>
      <c r="P76" s="6">
        <v>0</v>
      </c>
      <c r="Q76" s="6">
        <f>132000-77000</f>
        <v>55000</v>
      </c>
      <c r="R76" s="6">
        <f>140000-80000</f>
        <v>60000</v>
      </c>
      <c r="S76" s="6">
        <f>110000-10000</f>
        <v>100000</v>
      </c>
      <c r="T76" s="6">
        <f>125000-5000</f>
        <v>120000</v>
      </c>
      <c r="U76" s="6">
        <f t="shared" si="1"/>
        <v>335000</v>
      </c>
    </row>
    <row r="77" spans="1:21" s="7" customFormat="1" ht="38.25" hidden="1" customHeight="1" outlineLevel="1" x14ac:dyDescent="0.2">
      <c r="A77" s="8"/>
      <c r="B77" s="11"/>
      <c r="C77" s="114" t="s">
        <v>74</v>
      </c>
      <c r="D77" s="15">
        <v>2024</v>
      </c>
      <c r="E77" s="125"/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6">
        <v>0</v>
      </c>
      <c r="N77" s="6">
        <f t="shared" ref="N77:N141" si="3">G77+H77+I77+J77+K77+L77+M77</f>
        <v>0</v>
      </c>
      <c r="O77" s="6">
        <v>0</v>
      </c>
      <c r="P77" s="6">
        <v>2000</v>
      </c>
      <c r="Q77" s="6">
        <f>3000-3000</f>
        <v>0</v>
      </c>
      <c r="R77" s="6">
        <v>0</v>
      </c>
      <c r="S77" s="6">
        <v>0</v>
      </c>
      <c r="T77" s="6">
        <v>0</v>
      </c>
      <c r="U77" s="6">
        <f t="shared" ref="U77:U79" si="4">SUM(G77:T77)-N77</f>
        <v>2000</v>
      </c>
    </row>
    <row r="78" spans="1:21" s="7" customFormat="1" ht="46.5" hidden="1" customHeight="1" outlineLevel="1" x14ac:dyDescent="0.2">
      <c r="A78" s="8"/>
      <c r="B78" s="11"/>
      <c r="C78" s="114" t="s">
        <v>269</v>
      </c>
      <c r="D78" s="147">
        <v>2024</v>
      </c>
      <c r="E78" s="125"/>
      <c r="F78" s="24" t="s">
        <v>11</v>
      </c>
      <c r="G78" s="6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6">
        <v>0</v>
      </c>
      <c r="N78" s="6">
        <f t="shared" si="3"/>
        <v>0</v>
      </c>
      <c r="O78" s="6">
        <v>0</v>
      </c>
      <c r="P78" s="6">
        <v>15000</v>
      </c>
      <c r="Q78" s="6">
        <f>2000-2000</f>
        <v>0</v>
      </c>
      <c r="R78" s="6">
        <v>0</v>
      </c>
      <c r="S78" s="6">
        <v>0</v>
      </c>
      <c r="T78" s="6">
        <v>0</v>
      </c>
      <c r="U78" s="6">
        <f t="shared" si="4"/>
        <v>15000</v>
      </c>
    </row>
    <row r="79" spans="1:21" s="7" customFormat="1" ht="46.5" hidden="1" customHeight="1" outlineLevel="1" x14ac:dyDescent="0.2">
      <c r="A79" s="75"/>
      <c r="B79" s="148"/>
      <c r="C79" s="14" t="s">
        <v>253</v>
      </c>
      <c r="D79" s="149" t="s">
        <v>250</v>
      </c>
      <c r="E79" s="150"/>
      <c r="F79" s="24" t="s">
        <v>11</v>
      </c>
      <c r="G79" s="6"/>
      <c r="H79" s="9"/>
      <c r="I79" s="9"/>
      <c r="J79" s="9"/>
      <c r="K79" s="9"/>
      <c r="L79" s="9"/>
      <c r="M79" s="6"/>
      <c r="N79" s="6">
        <f t="shared" si="3"/>
        <v>0</v>
      </c>
      <c r="O79" s="6">
        <v>0</v>
      </c>
      <c r="P79" s="6">
        <v>0</v>
      </c>
      <c r="Q79" s="6">
        <f>19250-5950</f>
        <v>13300</v>
      </c>
      <c r="R79" s="6">
        <f>8900</f>
        <v>8900</v>
      </c>
      <c r="S79" s="6">
        <f>5300</f>
        <v>5300</v>
      </c>
      <c r="T79" s="6">
        <f>5500</f>
        <v>5500</v>
      </c>
      <c r="U79" s="6">
        <f t="shared" si="4"/>
        <v>33000</v>
      </c>
    </row>
    <row r="80" spans="1:21" s="7" customFormat="1" ht="49.5" customHeight="1" collapsed="1" x14ac:dyDescent="0.2">
      <c r="A80" s="469" t="s">
        <v>75</v>
      </c>
      <c r="B80" s="482"/>
      <c r="C80" s="134"/>
      <c r="D80" s="144"/>
      <c r="E80" s="145"/>
      <c r="F80" s="108" t="s">
        <v>11</v>
      </c>
      <c r="G80" s="146">
        <f t="shared" ref="G80:L80" si="5">SUM(G12:G78)-G39</f>
        <v>115838.47999999998</v>
      </c>
      <c r="H80" s="146">
        <f t="shared" si="5"/>
        <v>214504.09999999998</v>
      </c>
      <c r="I80" s="146">
        <f t="shared" si="5"/>
        <v>240425.5</v>
      </c>
      <c r="J80" s="146">
        <f t="shared" si="5"/>
        <v>295414.2</v>
      </c>
      <c r="K80" s="146">
        <f t="shared" si="5"/>
        <v>449477.26</v>
      </c>
      <c r="L80" s="146">
        <f t="shared" si="5"/>
        <v>628078.5</v>
      </c>
      <c r="M80" s="146">
        <f>SUM(M12:M78)-M39</f>
        <v>664788.29999999993</v>
      </c>
      <c r="N80" s="146">
        <f t="shared" ref="N80:U80" si="6">SUM(N12:N79)-N39</f>
        <v>2608526.3399999994</v>
      </c>
      <c r="O80" s="146">
        <f t="shared" si="6"/>
        <v>854868.20000000007</v>
      </c>
      <c r="P80" s="146">
        <f t="shared" si="6"/>
        <v>1049319.9861399999</v>
      </c>
      <c r="Q80" s="146">
        <f t="shared" si="6"/>
        <v>800931.76110999985</v>
      </c>
      <c r="R80" s="146">
        <f t="shared" si="6"/>
        <v>879903.61436000001</v>
      </c>
      <c r="S80" s="146">
        <f t="shared" si="6"/>
        <v>946132.16135999991</v>
      </c>
      <c r="T80" s="146">
        <f t="shared" si="6"/>
        <v>1038455.6748200001</v>
      </c>
      <c r="U80" s="146">
        <f t="shared" si="6"/>
        <v>8178137.7377900006</v>
      </c>
    </row>
    <row r="81" spans="1:21" s="7" customFormat="1" ht="45" hidden="1" customHeight="1" outlineLevel="1" x14ac:dyDescent="0.2">
      <c r="A81" s="211">
        <v>2</v>
      </c>
      <c r="B81" s="219" t="s">
        <v>76</v>
      </c>
      <c r="C81" s="117" t="s">
        <v>77</v>
      </c>
      <c r="D81" s="93" t="s">
        <v>10</v>
      </c>
      <c r="E81" s="484" t="s">
        <v>78</v>
      </c>
      <c r="F81" s="24" t="s">
        <v>11</v>
      </c>
      <c r="G81" s="6">
        <v>134514.32</v>
      </c>
      <c r="H81" s="6">
        <f>146683.2+8661.9</f>
        <v>155345.1</v>
      </c>
      <c r="I81" s="6">
        <v>209068.1</v>
      </c>
      <c r="J81" s="6">
        <v>224749.2</v>
      </c>
      <c r="K81" s="6">
        <v>310495.3</v>
      </c>
      <c r="L81" s="6">
        <f>24514+5642.2</f>
        <v>30156.2</v>
      </c>
      <c r="M81" s="6">
        <v>0</v>
      </c>
      <c r="N81" s="6">
        <f t="shared" si="3"/>
        <v>1064328.22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f>SUM(G81:T81)-N81</f>
        <v>1064328.22</v>
      </c>
    </row>
    <row r="82" spans="1:21" s="7" customFormat="1" ht="48.75" hidden="1" customHeight="1" outlineLevel="1" x14ac:dyDescent="0.2">
      <c r="A82" s="211"/>
      <c r="B82" s="209"/>
      <c r="C82" s="115" t="s">
        <v>79</v>
      </c>
      <c r="D82" s="97" t="s">
        <v>25</v>
      </c>
      <c r="E82" s="484"/>
      <c r="F82" s="220" t="s">
        <v>11</v>
      </c>
      <c r="G82" s="222">
        <v>3000</v>
      </c>
      <c r="H82" s="222">
        <v>12000</v>
      </c>
      <c r="I82" s="222">
        <v>3745</v>
      </c>
      <c r="J82" s="222">
        <v>8100</v>
      </c>
      <c r="K82" s="222">
        <v>9720</v>
      </c>
      <c r="L82" s="222">
        <f>0+979.5</f>
        <v>979.5</v>
      </c>
      <c r="M82" s="222">
        <v>0</v>
      </c>
      <c r="N82" s="222">
        <f t="shared" si="3"/>
        <v>37544.5</v>
      </c>
      <c r="O82" s="222">
        <v>0</v>
      </c>
      <c r="P82" s="222">
        <v>0</v>
      </c>
      <c r="Q82" s="222">
        <v>0</v>
      </c>
      <c r="R82" s="222">
        <v>0</v>
      </c>
      <c r="S82" s="222">
        <v>0</v>
      </c>
      <c r="T82" s="222">
        <v>0</v>
      </c>
      <c r="U82" s="222">
        <f t="shared" ref="U82:U145" si="7">SUM(G82:T82)-N82</f>
        <v>37544.5</v>
      </c>
    </row>
    <row r="83" spans="1:21" s="91" customFormat="1" ht="44.25" hidden="1" customHeight="1" outlineLevel="2" collapsed="1" x14ac:dyDescent="0.2">
      <c r="A83" s="101">
        <v>2</v>
      </c>
      <c r="B83" s="438" t="s">
        <v>76</v>
      </c>
      <c r="C83" s="152" t="s">
        <v>257</v>
      </c>
      <c r="D83" s="94" t="s">
        <v>252</v>
      </c>
      <c r="E83" s="425" t="s">
        <v>270</v>
      </c>
      <c r="F83" s="24" t="s">
        <v>11</v>
      </c>
      <c r="G83" s="9">
        <v>0</v>
      </c>
      <c r="H83" s="6">
        <f>498.2+2700</f>
        <v>3198.2</v>
      </c>
      <c r="I83" s="6">
        <v>0</v>
      </c>
      <c r="J83" s="6">
        <v>2200</v>
      </c>
      <c r="K83" s="6">
        <v>5500</v>
      </c>
      <c r="L83" s="6">
        <v>0</v>
      </c>
      <c r="M83" s="6">
        <v>0</v>
      </c>
      <c r="N83" s="6">
        <f t="shared" si="3"/>
        <v>10898.2</v>
      </c>
      <c r="O83" s="6">
        <v>0</v>
      </c>
      <c r="P83" s="6">
        <v>0</v>
      </c>
      <c r="Q83" s="6">
        <v>239.8</v>
      </c>
      <c r="R83" s="6">
        <v>0</v>
      </c>
      <c r="S83" s="6">
        <v>0</v>
      </c>
      <c r="T83" s="6">
        <v>0</v>
      </c>
      <c r="U83" s="6">
        <f t="shared" si="7"/>
        <v>11138</v>
      </c>
    </row>
    <row r="84" spans="1:21" s="7" customFormat="1" ht="45.75" hidden="1" customHeight="1" outlineLevel="3" x14ac:dyDescent="0.2">
      <c r="A84" s="211"/>
      <c r="B84" s="439"/>
      <c r="C84" s="153" t="s">
        <v>80</v>
      </c>
      <c r="D84" s="93" t="s">
        <v>25</v>
      </c>
      <c r="E84" s="426"/>
      <c r="F84" s="24" t="s">
        <v>11</v>
      </c>
      <c r="G84" s="6">
        <v>909</v>
      </c>
      <c r="H84" s="6">
        <v>1500</v>
      </c>
      <c r="I84" s="6">
        <v>1700</v>
      </c>
      <c r="J84" s="6">
        <v>1354.7</v>
      </c>
      <c r="K84" s="6">
        <v>1339.3</v>
      </c>
      <c r="L84" s="6">
        <f>0+564</f>
        <v>564</v>
      </c>
      <c r="M84" s="6">
        <v>0</v>
      </c>
      <c r="N84" s="6">
        <f t="shared" si="3"/>
        <v>7367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f t="shared" si="7"/>
        <v>7367</v>
      </c>
    </row>
    <row r="85" spans="1:21" s="7" customFormat="1" ht="57.75" hidden="1" customHeight="1" outlineLevel="3" x14ac:dyDescent="0.2">
      <c r="A85" s="211"/>
      <c r="B85" s="439"/>
      <c r="C85" s="153" t="s">
        <v>81</v>
      </c>
      <c r="D85" s="95" t="s">
        <v>25</v>
      </c>
      <c r="E85" s="426"/>
      <c r="F85" s="24" t="s">
        <v>11</v>
      </c>
      <c r="G85" s="9">
        <v>0</v>
      </c>
      <c r="H85" s="9">
        <v>0</v>
      </c>
      <c r="I85" s="9">
        <v>0</v>
      </c>
      <c r="J85" s="6">
        <v>12867</v>
      </c>
      <c r="K85" s="9">
        <v>0</v>
      </c>
      <c r="L85" s="9">
        <v>0</v>
      </c>
      <c r="M85" s="9">
        <v>16000</v>
      </c>
      <c r="N85" s="6">
        <f t="shared" si="3"/>
        <v>28867</v>
      </c>
      <c r="O85" s="9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f t="shared" si="7"/>
        <v>28867</v>
      </c>
    </row>
    <row r="86" spans="1:21" s="7" customFormat="1" ht="46.5" hidden="1" customHeight="1" outlineLevel="3" x14ac:dyDescent="0.2">
      <c r="A86" s="92"/>
      <c r="B86" s="439"/>
      <c r="C86" s="153" t="s">
        <v>82</v>
      </c>
      <c r="D86" s="95" t="s">
        <v>25</v>
      </c>
      <c r="E86" s="426"/>
      <c r="F86" s="24" t="s">
        <v>11</v>
      </c>
      <c r="G86" s="9">
        <v>0</v>
      </c>
      <c r="H86" s="6">
        <v>16000</v>
      </c>
      <c r="I86" s="9">
        <v>0</v>
      </c>
      <c r="J86" s="9">
        <v>0</v>
      </c>
      <c r="K86" s="9">
        <v>7218</v>
      </c>
      <c r="L86" s="9">
        <v>20000</v>
      </c>
      <c r="M86" s="9">
        <v>0</v>
      </c>
      <c r="N86" s="6">
        <f t="shared" si="3"/>
        <v>43218</v>
      </c>
      <c r="O86" s="9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 t="shared" si="7"/>
        <v>43218</v>
      </c>
    </row>
    <row r="87" spans="1:21" s="7" customFormat="1" ht="81.75" hidden="1" customHeight="1" outlineLevel="3" x14ac:dyDescent="0.2">
      <c r="A87" s="211"/>
      <c r="B87" s="439"/>
      <c r="C87" s="153" t="s">
        <v>215</v>
      </c>
      <c r="D87" s="95" t="s">
        <v>25</v>
      </c>
      <c r="E87" s="426"/>
      <c r="F87" s="24" t="s">
        <v>11</v>
      </c>
      <c r="G87" s="9">
        <v>0</v>
      </c>
      <c r="H87" s="6">
        <v>6000</v>
      </c>
      <c r="I87" s="9">
        <v>0</v>
      </c>
      <c r="J87" s="9">
        <v>8000</v>
      </c>
      <c r="K87" s="9">
        <v>0</v>
      </c>
      <c r="L87" s="9">
        <v>7042</v>
      </c>
      <c r="M87" s="9">
        <v>0</v>
      </c>
      <c r="N87" s="6">
        <f t="shared" si="3"/>
        <v>21042</v>
      </c>
      <c r="O87" s="9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f t="shared" si="7"/>
        <v>21042</v>
      </c>
    </row>
    <row r="88" spans="1:21" s="7" customFormat="1" ht="42" hidden="1" customHeight="1" outlineLevel="3" x14ac:dyDescent="0.2">
      <c r="A88" s="211"/>
      <c r="B88" s="439"/>
      <c r="C88" s="153" t="s">
        <v>83</v>
      </c>
      <c r="D88" s="96" t="s">
        <v>14</v>
      </c>
      <c r="E88" s="426"/>
      <c r="F88" s="24" t="s">
        <v>11</v>
      </c>
      <c r="G88" s="9">
        <v>0</v>
      </c>
      <c r="H88" s="6">
        <v>143</v>
      </c>
      <c r="I88" s="6">
        <v>195</v>
      </c>
      <c r="J88" s="6">
        <v>105</v>
      </c>
      <c r="K88" s="6">
        <v>105</v>
      </c>
      <c r="L88" s="6">
        <v>0</v>
      </c>
      <c r="M88" s="6">
        <v>0</v>
      </c>
      <c r="N88" s="6">
        <f t="shared" si="3"/>
        <v>548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f t="shared" si="7"/>
        <v>548</v>
      </c>
    </row>
    <row r="89" spans="1:21" s="7" customFormat="1" ht="48.75" hidden="1" customHeight="1" outlineLevel="3" x14ac:dyDescent="0.2">
      <c r="A89" s="211"/>
      <c r="B89" s="439"/>
      <c r="C89" s="153" t="s">
        <v>84</v>
      </c>
      <c r="D89" s="95" t="s">
        <v>14</v>
      </c>
      <c r="E89" s="426"/>
      <c r="F89" s="24" t="s">
        <v>11</v>
      </c>
      <c r="G89" s="9">
        <v>0</v>
      </c>
      <c r="H89" s="6">
        <v>1530.8</v>
      </c>
      <c r="I89" s="6">
        <v>490</v>
      </c>
      <c r="J89" s="6">
        <v>890</v>
      </c>
      <c r="K89" s="6">
        <v>0</v>
      </c>
      <c r="L89" s="6">
        <v>0</v>
      </c>
      <c r="M89" s="6">
        <v>0</v>
      </c>
      <c r="N89" s="6">
        <f t="shared" si="3"/>
        <v>2910.8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f t="shared" si="7"/>
        <v>2910.8</v>
      </c>
    </row>
    <row r="90" spans="1:21" s="7" customFormat="1" ht="44.25" hidden="1" customHeight="1" outlineLevel="3" x14ac:dyDescent="0.2">
      <c r="A90" s="211"/>
      <c r="B90" s="439"/>
      <c r="C90" s="153" t="s">
        <v>85</v>
      </c>
      <c r="D90" s="95" t="s">
        <v>25</v>
      </c>
      <c r="E90" s="426"/>
      <c r="F90" s="24" t="s">
        <v>11</v>
      </c>
      <c r="G90" s="9">
        <v>0</v>
      </c>
      <c r="H90" s="6">
        <v>8085</v>
      </c>
      <c r="I90" s="6">
        <v>290.89999999999998</v>
      </c>
      <c r="J90" s="6">
        <v>7367</v>
      </c>
      <c r="K90" s="6">
        <v>8499.5</v>
      </c>
      <c r="L90" s="6">
        <v>62100</v>
      </c>
      <c r="M90" s="6">
        <v>66000</v>
      </c>
      <c r="N90" s="6">
        <f t="shared" si="3"/>
        <v>152342.39999999999</v>
      </c>
      <c r="O90" s="6">
        <v>72600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f t="shared" si="7"/>
        <v>224942.4</v>
      </c>
    </row>
    <row r="91" spans="1:21" s="7" customFormat="1" ht="43.5" hidden="1" customHeight="1" outlineLevel="3" x14ac:dyDescent="0.2">
      <c r="A91" s="211"/>
      <c r="B91" s="439"/>
      <c r="C91" s="154" t="s">
        <v>86</v>
      </c>
      <c r="D91" s="96" t="s">
        <v>14</v>
      </c>
      <c r="E91" s="426"/>
      <c r="F91" s="24" t="s">
        <v>11</v>
      </c>
      <c r="G91" s="9">
        <v>0</v>
      </c>
      <c r="H91" s="6">
        <f>552+228</f>
        <v>780</v>
      </c>
      <c r="I91" s="6">
        <f>1936+2784</f>
        <v>4720</v>
      </c>
      <c r="J91" s="6">
        <f>1936+2784</f>
        <v>4720</v>
      </c>
      <c r="K91" s="6">
        <v>4720</v>
      </c>
      <c r="L91" s="6">
        <v>0</v>
      </c>
      <c r="M91" s="6">
        <v>0</v>
      </c>
      <c r="N91" s="6">
        <f t="shared" si="3"/>
        <v>14940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f t="shared" si="7"/>
        <v>14940</v>
      </c>
    </row>
    <row r="92" spans="1:21" s="7" customFormat="1" ht="42" hidden="1" customHeight="1" outlineLevel="3" x14ac:dyDescent="0.2">
      <c r="A92" s="211"/>
      <c r="B92" s="439"/>
      <c r="C92" s="155" t="s">
        <v>87</v>
      </c>
      <c r="D92" s="93" t="s">
        <v>14</v>
      </c>
      <c r="E92" s="426"/>
      <c r="F92" s="24" t="s">
        <v>11</v>
      </c>
      <c r="G92" s="9">
        <v>0</v>
      </c>
      <c r="H92" s="6">
        <v>176</v>
      </c>
      <c r="I92" s="6">
        <v>500</v>
      </c>
      <c r="J92" s="6">
        <v>0</v>
      </c>
      <c r="K92" s="6">
        <v>0</v>
      </c>
      <c r="L92" s="6">
        <v>0</v>
      </c>
      <c r="M92" s="6">
        <v>0</v>
      </c>
      <c r="N92" s="6">
        <f t="shared" si="3"/>
        <v>676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f t="shared" si="7"/>
        <v>676</v>
      </c>
    </row>
    <row r="93" spans="1:21" s="7" customFormat="1" ht="72" hidden="1" customHeight="1" outlineLevel="3" x14ac:dyDescent="0.2">
      <c r="A93" s="211"/>
      <c r="B93" s="439"/>
      <c r="C93" s="153" t="s">
        <v>193</v>
      </c>
      <c r="D93" s="95">
        <v>2019</v>
      </c>
      <c r="E93" s="426"/>
      <c r="F93" s="24" t="s">
        <v>11</v>
      </c>
      <c r="G93" s="9">
        <v>0</v>
      </c>
      <c r="H93" s="6">
        <v>0</v>
      </c>
      <c r="I93" s="6">
        <v>0</v>
      </c>
      <c r="J93" s="6">
        <v>240</v>
      </c>
      <c r="K93" s="6">
        <v>0</v>
      </c>
      <c r="L93" s="6">
        <v>0</v>
      </c>
      <c r="M93" s="6">
        <v>0</v>
      </c>
      <c r="N93" s="6">
        <f t="shared" si="3"/>
        <v>240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f t="shared" si="7"/>
        <v>240</v>
      </c>
    </row>
    <row r="94" spans="1:21" s="7" customFormat="1" ht="42.75" hidden="1" customHeight="1" outlineLevel="3" x14ac:dyDescent="0.2">
      <c r="A94" s="211"/>
      <c r="B94" s="439"/>
      <c r="C94" s="153" t="s">
        <v>88</v>
      </c>
      <c r="D94" s="95">
        <v>2020</v>
      </c>
      <c r="E94" s="426"/>
      <c r="F94" s="24" t="s">
        <v>11</v>
      </c>
      <c r="G94" s="9">
        <v>0</v>
      </c>
      <c r="H94" s="6">
        <v>0</v>
      </c>
      <c r="I94" s="6">
        <v>0</v>
      </c>
      <c r="J94" s="6">
        <v>0</v>
      </c>
      <c r="K94" s="6">
        <v>1334.27</v>
      </c>
      <c r="L94" s="6">
        <v>0</v>
      </c>
      <c r="M94" s="6">
        <v>0</v>
      </c>
      <c r="N94" s="6">
        <f t="shared" si="3"/>
        <v>1334.27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f t="shared" si="7"/>
        <v>1334.27</v>
      </c>
    </row>
    <row r="95" spans="1:21" s="7" customFormat="1" ht="42.75" hidden="1" customHeight="1" outlineLevel="3" x14ac:dyDescent="0.2">
      <c r="A95" s="211"/>
      <c r="B95" s="439"/>
      <c r="C95" s="153" t="s">
        <v>89</v>
      </c>
      <c r="D95" s="95" t="s">
        <v>90</v>
      </c>
      <c r="E95" s="426"/>
      <c r="F95" s="24" t="s">
        <v>11</v>
      </c>
      <c r="G95" s="9">
        <v>0</v>
      </c>
      <c r="H95" s="6">
        <v>0</v>
      </c>
      <c r="I95" s="6">
        <v>0</v>
      </c>
      <c r="J95" s="6">
        <v>0</v>
      </c>
      <c r="K95" s="6">
        <v>3500</v>
      </c>
      <c r="L95" s="6">
        <f>4500</f>
        <v>4500</v>
      </c>
      <c r="M95" s="6">
        <f>0+4500</f>
        <v>4500</v>
      </c>
      <c r="N95" s="6">
        <f t="shared" si="3"/>
        <v>12500</v>
      </c>
      <c r="O95" s="6">
        <v>4800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f t="shared" si="7"/>
        <v>17300</v>
      </c>
    </row>
    <row r="96" spans="1:21" s="7" customFormat="1" ht="59.25" hidden="1" customHeight="1" outlineLevel="3" x14ac:dyDescent="0.2">
      <c r="A96" s="211"/>
      <c r="B96" s="439"/>
      <c r="C96" s="153" t="s">
        <v>216</v>
      </c>
      <c r="D96" s="95">
        <v>2019</v>
      </c>
      <c r="E96" s="426"/>
      <c r="F96" s="24" t="s">
        <v>11</v>
      </c>
      <c r="G96" s="9">
        <v>0</v>
      </c>
      <c r="H96" s="6">
        <v>0</v>
      </c>
      <c r="I96" s="6">
        <v>0</v>
      </c>
      <c r="J96" s="6">
        <v>5200</v>
      </c>
      <c r="K96" s="6">
        <v>0</v>
      </c>
      <c r="L96" s="6">
        <v>0</v>
      </c>
      <c r="M96" s="6">
        <v>0</v>
      </c>
      <c r="N96" s="6">
        <f t="shared" si="3"/>
        <v>5200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f t="shared" si="7"/>
        <v>5200</v>
      </c>
    </row>
    <row r="97" spans="1:21" s="7" customFormat="1" ht="71.25" hidden="1" customHeight="1" outlineLevel="3" x14ac:dyDescent="0.2">
      <c r="A97" s="211"/>
      <c r="B97" s="439"/>
      <c r="C97" s="153" t="s">
        <v>91</v>
      </c>
      <c r="D97" s="96" t="s">
        <v>50</v>
      </c>
      <c r="E97" s="426"/>
      <c r="F97" s="24" t="s">
        <v>11</v>
      </c>
      <c r="G97" s="9">
        <v>0</v>
      </c>
      <c r="H97" s="6">
        <v>0</v>
      </c>
      <c r="I97" s="6">
        <v>0</v>
      </c>
      <c r="J97" s="6">
        <v>400</v>
      </c>
      <c r="K97" s="6">
        <v>0</v>
      </c>
      <c r="L97" s="6">
        <v>69.55</v>
      </c>
      <c r="M97" s="6">
        <v>0</v>
      </c>
      <c r="N97" s="6">
        <f t="shared" si="3"/>
        <v>469.55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f t="shared" si="7"/>
        <v>469.55</v>
      </c>
    </row>
    <row r="98" spans="1:21" s="7" customFormat="1" ht="46.5" hidden="1" customHeight="1" outlineLevel="3" x14ac:dyDescent="0.2">
      <c r="A98" s="211"/>
      <c r="B98" s="439"/>
      <c r="C98" s="153" t="s">
        <v>92</v>
      </c>
      <c r="D98" s="95" t="s">
        <v>56</v>
      </c>
      <c r="E98" s="426"/>
      <c r="F98" s="24" t="s">
        <v>11</v>
      </c>
      <c r="G98" s="9">
        <v>0</v>
      </c>
      <c r="H98" s="6">
        <v>0</v>
      </c>
      <c r="I98" s="6">
        <v>0</v>
      </c>
      <c r="J98" s="6">
        <v>30000</v>
      </c>
      <c r="K98" s="6">
        <v>0</v>
      </c>
      <c r="L98" s="6">
        <v>0</v>
      </c>
      <c r="M98" s="6">
        <v>0</v>
      </c>
      <c r="N98" s="6">
        <f t="shared" si="3"/>
        <v>30000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f t="shared" si="7"/>
        <v>30000</v>
      </c>
    </row>
    <row r="99" spans="1:21" s="7" customFormat="1" ht="56.25" hidden="1" customHeight="1" outlineLevel="3" x14ac:dyDescent="0.2">
      <c r="A99" s="211"/>
      <c r="B99" s="439"/>
      <c r="C99" s="153" t="s">
        <v>93</v>
      </c>
      <c r="D99" s="96" t="s">
        <v>50</v>
      </c>
      <c r="E99" s="426"/>
      <c r="F99" s="24" t="s">
        <v>11</v>
      </c>
      <c r="G99" s="9">
        <v>0</v>
      </c>
      <c r="H99" s="6">
        <v>0</v>
      </c>
      <c r="I99" s="6">
        <v>0</v>
      </c>
      <c r="J99" s="6">
        <v>7000</v>
      </c>
      <c r="K99" s="6">
        <v>13389</v>
      </c>
      <c r="L99" s="6">
        <f>0+4455</f>
        <v>4455</v>
      </c>
      <c r="M99" s="6">
        <f>0+2600+2000</f>
        <v>4600</v>
      </c>
      <c r="N99" s="6">
        <f t="shared" si="3"/>
        <v>29444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f t="shared" si="7"/>
        <v>29444</v>
      </c>
    </row>
    <row r="100" spans="1:21" s="7" customFormat="1" ht="71.25" hidden="1" customHeight="1" outlineLevel="3" x14ac:dyDescent="0.2">
      <c r="A100" s="211"/>
      <c r="B100" s="439"/>
      <c r="C100" s="153" t="s">
        <v>217</v>
      </c>
      <c r="D100" s="95" t="s">
        <v>90</v>
      </c>
      <c r="E100" s="426"/>
      <c r="F100" s="24" t="s">
        <v>11</v>
      </c>
      <c r="G100" s="9">
        <v>0</v>
      </c>
      <c r="H100" s="9">
        <v>0</v>
      </c>
      <c r="I100" s="9">
        <v>0</v>
      </c>
      <c r="J100" s="9">
        <v>0</v>
      </c>
      <c r="K100" s="6">
        <v>200</v>
      </c>
      <c r="L100" s="6">
        <v>97.64</v>
      </c>
      <c r="M100" s="6">
        <v>0</v>
      </c>
      <c r="N100" s="6">
        <f t="shared" si="3"/>
        <v>297.64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f t="shared" si="7"/>
        <v>297.64</v>
      </c>
    </row>
    <row r="101" spans="1:21" s="7" customFormat="1" ht="41.25" hidden="1" customHeight="1" outlineLevel="3" x14ac:dyDescent="0.2">
      <c r="A101" s="211"/>
      <c r="B101" s="439"/>
      <c r="C101" s="153" t="s">
        <v>94</v>
      </c>
      <c r="D101" s="95">
        <v>2020</v>
      </c>
      <c r="E101" s="426"/>
      <c r="F101" s="24" t="s">
        <v>11</v>
      </c>
      <c r="G101" s="9">
        <v>0</v>
      </c>
      <c r="H101" s="6">
        <v>0</v>
      </c>
      <c r="I101" s="6">
        <v>0</v>
      </c>
      <c r="J101" s="6">
        <v>0</v>
      </c>
      <c r="K101" s="6">
        <v>50000</v>
      </c>
      <c r="L101" s="6">
        <v>0</v>
      </c>
      <c r="M101" s="6">
        <v>0</v>
      </c>
      <c r="N101" s="6">
        <f t="shared" si="3"/>
        <v>50000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f t="shared" si="7"/>
        <v>50000</v>
      </c>
    </row>
    <row r="102" spans="1:21" s="7" customFormat="1" ht="36" hidden="1" customHeight="1" outlineLevel="3" x14ac:dyDescent="0.2">
      <c r="A102" s="211"/>
      <c r="B102" s="439"/>
      <c r="C102" s="153" t="s">
        <v>95</v>
      </c>
      <c r="D102" s="95">
        <v>2020</v>
      </c>
      <c r="E102" s="426"/>
      <c r="F102" s="24" t="s">
        <v>11</v>
      </c>
      <c r="G102" s="9">
        <v>0</v>
      </c>
      <c r="H102" s="6">
        <v>0</v>
      </c>
      <c r="I102" s="6">
        <v>0</v>
      </c>
      <c r="J102" s="6">
        <v>0</v>
      </c>
      <c r="K102" s="6">
        <v>690</v>
      </c>
      <c r="L102" s="6">
        <v>0</v>
      </c>
      <c r="M102" s="6">
        <v>0</v>
      </c>
      <c r="N102" s="6">
        <f t="shared" si="3"/>
        <v>690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f t="shared" si="7"/>
        <v>690</v>
      </c>
    </row>
    <row r="103" spans="1:21" s="7" customFormat="1" ht="48.75" hidden="1" customHeight="1" outlineLevel="3" x14ac:dyDescent="0.2">
      <c r="A103" s="92"/>
      <c r="B103" s="439"/>
      <c r="C103" s="154" t="s">
        <v>220</v>
      </c>
      <c r="D103" s="96">
        <v>2020</v>
      </c>
      <c r="E103" s="426"/>
      <c r="F103" s="24" t="s">
        <v>11</v>
      </c>
      <c r="G103" s="9">
        <v>0</v>
      </c>
      <c r="H103" s="6">
        <v>0</v>
      </c>
      <c r="I103" s="6">
        <v>0</v>
      </c>
      <c r="J103" s="6">
        <v>0</v>
      </c>
      <c r="K103" s="6">
        <v>900</v>
      </c>
      <c r="L103" s="6">
        <v>0</v>
      </c>
      <c r="M103" s="6">
        <v>0</v>
      </c>
      <c r="N103" s="6">
        <f t="shared" si="3"/>
        <v>900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f t="shared" si="7"/>
        <v>900</v>
      </c>
    </row>
    <row r="104" spans="1:21" s="7" customFormat="1" ht="68.25" hidden="1" customHeight="1" outlineLevel="3" x14ac:dyDescent="0.2">
      <c r="A104" s="33"/>
      <c r="B104" s="439"/>
      <c r="C104" s="155" t="s">
        <v>96</v>
      </c>
      <c r="D104" s="93" t="s">
        <v>90</v>
      </c>
      <c r="E104" s="426"/>
      <c r="F104" s="24" t="s">
        <v>11</v>
      </c>
      <c r="G104" s="9">
        <v>0</v>
      </c>
      <c r="H104" s="6">
        <v>0</v>
      </c>
      <c r="I104" s="6">
        <v>0</v>
      </c>
      <c r="J104" s="6">
        <v>0</v>
      </c>
      <c r="K104" s="6">
        <v>2334.5</v>
      </c>
      <c r="L104" s="6">
        <v>1892.3</v>
      </c>
      <c r="M104" s="6">
        <v>0</v>
      </c>
      <c r="N104" s="6">
        <f t="shared" si="3"/>
        <v>4226.8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f t="shared" si="7"/>
        <v>4226.8</v>
      </c>
    </row>
    <row r="105" spans="1:21" s="7" customFormat="1" ht="41.25" hidden="1" customHeight="1" outlineLevel="3" x14ac:dyDescent="0.2">
      <c r="A105" s="33"/>
      <c r="B105" s="439"/>
      <c r="C105" s="153" t="s">
        <v>97</v>
      </c>
      <c r="D105" s="95" t="s">
        <v>90</v>
      </c>
      <c r="E105" s="426"/>
      <c r="F105" s="24" t="s">
        <v>11</v>
      </c>
      <c r="G105" s="9">
        <v>0</v>
      </c>
      <c r="H105" s="6">
        <v>0</v>
      </c>
      <c r="I105" s="6">
        <v>0</v>
      </c>
      <c r="J105" s="6">
        <v>0</v>
      </c>
      <c r="K105" s="6">
        <v>1168.73</v>
      </c>
      <c r="L105" s="6">
        <f>0+320.8</f>
        <v>320.8</v>
      </c>
      <c r="M105" s="6">
        <v>0</v>
      </c>
      <c r="N105" s="6">
        <f t="shared" si="3"/>
        <v>1489.53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f t="shared" si="7"/>
        <v>1489.53</v>
      </c>
    </row>
    <row r="106" spans="1:21" s="7" customFormat="1" ht="58.5" hidden="1" customHeight="1" outlineLevel="3" x14ac:dyDescent="0.2">
      <c r="A106" s="33"/>
      <c r="B106" s="439"/>
      <c r="C106" s="153" t="s">
        <v>221</v>
      </c>
      <c r="D106" s="95" t="s">
        <v>98</v>
      </c>
      <c r="E106" s="426"/>
      <c r="F106" s="24" t="s">
        <v>11</v>
      </c>
      <c r="G106" s="9">
        <v>0</v>
      </c>
      <c r="H106" s="6">
        <v>0</v>
      </c>
      <c r="I106" s="6">
        <v>0</v>
      </c>
      <c r="J106" s="6">
        <v>0</v>
      </c>
      <c r="K106" s="6">
        <v>500</v>
      </c>
      <c r="L106" s="6">
        <v>500</v>
      </c>
      <c r="M106" s="6">
        <v>0</v>
      </c>
      <c r="N106" s="6">
        <f t="shared" si="3"/>
        <v>1000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f t="shared" si="7"/>
        <v>1000</v>
      </c>
    </row>
    <row r="107" spans="1:21" s="91" customFormat="1" ht="41.25" hidden="1" customHeight="1" outlineLevel="2" collapsed="1" x14ac:dyDescent="0.2">
      <c r="A107" s="33"/>
      <c r="B107" s="439"/>
      <c r="C107" s="153" t="s">
        <v>99</v>
      </c>
      <c r="D107" s="95" t="s">
        <v>255</v>
      </c>
      <c r="E107" s="426"/>
      <c r="F107" s="24" t="s">
        <v>11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6">
        <v>5200</v>
      </c>
      <c r="M107" s="6">
        <f>2860-2860</f>
        <v>0</v>
      </c>
      <c r="N107" s="6">
        <f t="shared" si="3"/>
        <v>5200</v>
      </c>
      <c r="O107" s="6">
        <v>3150</v>
      </c>
      <c r="P107" s="6">
        <v>5500</v>
      </c>
      <c r="Q107" s="6">
        <v>0</v>
      </c>
      <c r="R107" s="6">
        <f>5600-5600</f>
        <v>0</v>
      </c>
      <c r="S107" s="6">
        <v>0</v>
      </c>
      <c r="T107" s="6">
        <v>0</v>
      </c>
      <c r="U107" s="6">
        <f t="shared" si="7"/>
        <v>13850</v>
      </c>
    </row>
    <row r="108" spans="1:21" s="7" customFormat="1" ht="48" hidden="1" customHeight="1" outlineLevel="3" x14ac:dyDescent="0.2">
      <c r="A108" s="33"/>
      <c r="B108" s="439"/>
      <c r="C108" s="153" t="s">
        <v>100</v>
      </c>
      <c r="D108" s="96" t="s">
        <v>59</v>
      </c>
      <c r="E108" s="426"/>
      <c r="F108" s="24" t="s">
        <v>11</v>
      </c>
      <c r="G108" s="9">
        <v>0</v>
      </c>
      <c r="H108" s="6">
        <v>0</v>
      </c>
      <c r="I108" s="6">
        <v>0</v>
      </c>
      <c r="J108" s="6">
        <v>0</v>
      </c>
      <c r="K108" s="6">
        <v>0</v>
      </c>
      <c r="L108" s="6">
        <v>2300</v>
      </c>
      <c r="M108" s="6">
        <v>0</v>
      </c>
      <c r="N108" s="6">
        <f t="shared" si="3"/>
        <v>2300</v>
      </c>
      <c r="O108" s="6">
        <v>2800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f t="shared" si="7"/>
        <v>5100</v>
      </c>
    </row>
    <row r="109" spans="1:21" s="7" customFormat="1" ht="48.75" hidden="1" customHeight="1" outlineLevel="3" x14ac:dyDescent="0.2">
      <c r="A109" s="33"/>
      <c r="B109" s="439"/>
      <c r="C109" s="153" t="s">
        <v>102</v>
      </c>
      <c r="D109" s="95" t="s">
        <v>59</v>
      </c>
      <c r="E109" s="426"/>
      <c r="F109" s="24" t="s">
        <v>11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6">
        <v>24900</v>
      </c>
      <c r="M109" s="6">
        <f>27309.5-27309.5</f>
        <v>0</v>
      </c>
      <c r="N109" s="6">
        <f t="shared" si="3"/>
        <v>24900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f t="shared" si="7"/>
        <v>24900</v>
      </c>
    </row>
    <row r="110" spans="1:21" s="7" customFormat="1" ht="44.25" hidden="1" customHeight="1" outlineLevel="3" x14ac:dyDescent="0.2">
      <c r="A110" s="33"/>
      <c r="B110" s="439"/>
      <c r="C110" s="153" t="s">
        <v>103</v>
      </c>
      <c r="D110" s="95" t="s">
        <v>59</v>
      </c>
      <c r="E110" s="426"/>
      <c r="F110" s="24" t="s">
        <v>11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6">
        <v>1000</v>
      </c>
      <c r="M110" s="6">
        <v>0</v>
      </c>
      <c r="N110" s="6">
        <f t="shared" si="3"/>
        <v>1000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f t="shared" si="7"/>
        <v>1000</v>
      </c>
    </row>
    <row r="111" spans="1:21" s="7" customFormat="1" ht="40.5" hidden="1" customHeight="1" outlineLevel="2" collapsed="1" x14ac:dyDescent="0.2">
      <c r="A111" s="33"/>
      <c r="B111" s="439"/>
      <c r="C111" s="153" t="s">
        <v>104</v>
      </c>
      <c r="D111" s="95" t="s">
        <v>59</v>
      </c>
      <c r="E111" s="426"/>
      <c r="F111" s="24" t="s">
        <v>11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6">
        <v>425000</v>
      </c>
      <c r="M111" s="6">
        <v>510000</v>
      </c>
      <c r="N111" s="6">
        <f t="shared" si="3"/>
        <v>935000</v>
      </c>
      <c r="O111" s="6">
        <f>225000-14520</f>
        <v>210480</v>
      </c>
      <c r="P111" s="6">
        <v>0</v>
      </c>
      <c r="Q111" s="6">
        <f>250000-250000</f>
        <v>0</v>
      </c>
      <c r="R111" s="6">
        <f>264500-264500</f>
        <v>0</v>
      </c>
      <c r="S111" s="6">
        <f>300000-300000</f>
        <v>0</v>
      </c>
      <c r="T111" s="6">
        <f>317400-317400</f>
        <v>0</v>
      </c>
      <c r="U111" s="6">
        <f t="shared" si="7"/>
        <v>1145480</v>
      </c>
    </row>
    <row r="112" spans="1:21" s="7" customFormat="1" ht="46.5" hidden="1" customHeight="1" outlineLevel="3" x14ac:dyDescent="0.2">
      <c r="A112" s="33"/>
      <c r="B112" s="439"/>
      <c r="C112" s="153" t="s">
        <v>105</v>
      </c>
      <c r="D112" s="95" t="s">
        <v>59</v>
      </c>
      <c r="E112" s="426"/>
      <c r="F112" s="24" t="s">
        <v>11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">
        <v>0</v>
      </c>
      <c r="M112" s="6">
        <v>400</v>
      </c>
      <c r="N112" s="6">
        <f t="shared" si="3"/>
        <v>400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f t="shared" si="7"/>
        <v>400</v>
      </c>
    </row>
    <row r="113" spans="1:21" s="7" customFormat="1" ht="48" hidden="1" customHeight="1" outlineLevel="3" x14ac:dyDescent="0.2">
      <c r="A113" s="33"/>
      <c r="B113" s="439"/>
      <c r="C113" s="153" t="s">
        <v>208</v>
      </c>
      <c r="D113" s="95" t="s">
        <v>59</v>
      </c>
      <c r="E113" s="426"/>
      <c r="F113" s="24" t="s">
        <v>11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6">
        <v>0</v>
      </c>
      <c r="M113" s="6">
        <v>300</v>
      </c>
      <c r="N113" s="6">
        <f t="shared" si="3"/>
        <v>300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f t="shared" si="7"/>
        <v>300</v>
      </c>
    </row>
    <row r="114" spans="1:21" s="7" customFormat="1" ht="47.25" hidden="1" customHeight="1" outlineLevel="3" x14ac:dyDescent="0.2">
      <c r="A114" s="33"/>
      <c r="B114" s="439"/>
      <c r="C114" s="153" t="s">
        <v>211</v>
      </c>
      <c r="D114" s="95" t="s">
        <v>59</v>
      </c>
      <c r="E114" s="426"/>
      <c r="F114" s="24" t="s">
        <v>11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6">
        <v>0</v>
      </c>
      <c r="M114" s="6">
        <v>200</v>
      </c>
      <c r="N114" s="6">
        <f t="shared" si="3"/>
        <v>200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f t="shared" si="7"/>
        <v>200</v>
      </c>
    </row>
    <row r="115" spans="1:21" s="7" customFormat="1" ht="44.25" hidden="1" customHeight="1" outlineLevel="3" x14ac:dyDescent="0.2">
      <c r="A115" s="33"/>
      <c r="B115" s="439"/>
      <c r="C115" s="153" t="s">
        <v>194</v>
      </c>
      <c r="D115" s="97" t="s">
        <v>59</v>
      </c>
      <c r="E115" s="426"/>
      <c r="F115" s="24" t="s">
        <v>11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6">
        <v>0</v>
      </c>
      <c r="M115" s="6">
        <v>120</v>
      </c>
      <c r="N115" s="6">
        <f t="shared" si="3"/>
        <v>120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f t="shared" si="7"/>
        <v>120</v>
      </c>
    </row>
    <row r="116" spans="1:21" s="7" customFormat="1" ht="45.75" hidden="1" customHeight="1" outlineLevel="3" x14ac:dyDescent="0.2">
      <c r="A116" s="33"/>
      <c r="B116" s="439"/>
      <c r="C116" s="153" t="s">
        <v>195</v>
      </c>
      <c r="D116" s="94" t="s">
        <v>59</v>
      </c>
      <c r="E116" s="426"/>
      <c r="F116" s="24" t="s">
        <v>11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6">
        <v>0</v>
      </c>
      <c r="M116" s="6">
        <v>135</v>
      </c>
      <c r="N116" s="6">
        <f t="shared" si="3"/>
        <v>135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f t="shared" si="7"/>
        <v>135</v>
      </c>
    </row>
    <row r="117" spans="1:21" s="7" customFormat="1" ht="48" hidden="1" customHeight="1" outlineLevel="3" x14ac:dyDescent="0.2">
      <c r="A117" s="33"/>
      <c r="B117" s="439"/>
      <c r="C117" s="153" t="s">
        <v>196</v>
      </c>
      <c r="D117" s="95" t="s">
        <v>59</v>
      </c>
      <c r="E117" s="426"/>
      <c r="F117" s="24" t="s">
        <v>11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6">
        <v>0</v>
      </c>
      <c r="M117" s="6">
        <v>150</v>
      </c>
      <c r="N117" s="6">
        <f t="shared" si="3"/>
        <v>150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f t="shared" si="7"/>
        <v>150</v>
      </c>
    </row>
    <row r="118" spans="1:21" s="7" customFormat="1" ht="46.5" hidden="1" customHeight="1" outlineLevel="3" x14ac:dyDescent="0.2">
      <c r="A118" s="33"/>
      <c r="B118" s="439"/>
      <c r="C118" s="154" t="s">
        <v>106</v>
      </c>
      <c r="D118" s="96" t="s">
        <v>59</v>
      </c>
      <c r="E118" s="426"/>
      <c r="F118" s="24" t="s">
        <v>11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6">
        <v>0</v>
      </c>
      <c r="M118" s="6">
        <v>320</v>
      </c>
      <c r="N118" s="6">
        <f t="shared" si="3"/>
        <v>320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f t="shared" si="7"/>
        <v>320</v>
      </c>
    </row>
    <row r="119" spans="1:21" s="7" customFormat="1" ht="56.25" hidden="1" customHeight="1" outlineLevel="3" x14ac:dyDescent="0.2">
      <c r="A119" s="33"/>
      <c r="B119" s="439"/>
      <c r="C119" s="155" t="s">
        <v>107</v>
      </c>
      <c r="D119" s="93" t="s">
        <v>59</v>
      </c>
      <c r="E119" s="426"/>
      <c r="F119" s="24" t="s">
        <v>11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6">
        <v>500</v>
      </c>
      <c r="M119" s="6">
        <v>0</v>
      </c>
      <c r="N119" s="6">
        <f t="shared" si="3"/>
        <v>500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f t="shared" si="7"/>
        <v>500</v>
      </c>
    </row>
    <row r="120" spans="1:21" s="7" customFormat="1" ht="50.25" hidden="1" customHeight="1" outlineLevel="3" x14ac:dyDescent="0.2">
      <c r="A120" s="33"/>
      <c r="B120" s="439"/>
      <c r="C120" s="153" t="s">
        <v>108</v>
      </c>
      <c r="D120" s="95" t="s">
        <v>59</v>
      </c>
      <c r="E120" s="426"/>
      <c r="F120" s="24" t="s">
        <v>11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6">
        <v>0</v>
      </c>
      <c r="M120" s="6">
        <v>500</v>
      </c>
      <c r="N120" s="6">
        <f t="shared" si="3"/>
        <v>500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f t="shared" si="7"/>
        <v>500</v>
      </c>
    </row>
    <row r="121" spans="1:21" s="7" customFormat="1" ht="48" hidden="1" customHeight="1" outlineLevel="3" x14ac:dyDescent="0.2">
      <c r="A121" s="76"/>
      <c r="B121" s="439"/>
      <c r="C121" s="153" t="s">
        <v>109</v>
      </c>
      <c r="D121" s="95" t="s">
        <v>59</v>
      </c>
      <c r="E121" s="426"/>
      <c r="F121" s="24" t="s">
        <v>11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6">
        <v>410</v>
      </c>
      <c r="M121" s="6">
        <v>0</v>
      </c>
      <c r="N121" s="6">
        <f t="shared" si="3"/>
        <v>410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f t="shared" si="7"/>
        <v>410</v>
      </c>
    </row>
    <row r="122" spans="1:21" s="7" customFormat="1" ht="39.75" hidden="1" customHeight="1" outlineLevel="3" x14ac:dyDescent="0.2">
      <c r="A122" s="33"/>
      <c r="B122" s="439"/>
      <c r="C122" s="153" t="s">
        <v>110</v>
      </c>
      <c r="D122" s="95" t="s">
        <v>59</v>
      </c>
      <c r="E122" s="426"/>
      <c r="F122" s="24" t="s">
        <v>11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6">
        <v>0</v>
      </c>
      <c r="M122" s="6">
        <v>0</v>
      </c>
      <c r="N122" s="6">
        <f t="shared" si="3"/>
        <v>0</v>
      </c>
      <c r="O122" s="6">
        <v>15000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f t="shared" si="7"/>
        <v>15000</v>
      </c>
    </row>
    <row r="123" spans="1:21" s="7" customFormat="1" ht="47.25" hidden="1" customHeight="1" outlineLevel="3" x14ac:dyDescent="0.2">
      <c r="A123" s="33"/>
      <c r="B123" s="439"/>
      <c r="C123" s="153" t="s">
        <v>111</v>
      </c>
      <c r="D123" s="95" t="s">
        <v>59</v>
      </c>
      <c r="E123" s="426"/>
      <c r="F123" s="24" t="s">
        <v>11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6">
        <v>0</v>
      </c>
      <c r="M123" s="6">
        <v>0</v>
      </c>
      <c r="N123" s="6">
        <f t="shared" si="3"/>
        <v>0</v>
      </c>
      <c r="O123" s="6">
        <v>3400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f t="shared" si="7"/>
        <v>3400</v>
      </c>
    </row>
    <row r="124" spans="1:21" s="7" customFormat="1" ht="45.75" hidden="1" customHeight="1" outlineLevel="3" x14ac:dyDescent="0.2">
      <c r="A124" s="33"/>
      <c r="B124" s="439"/>
      <c r="C124" s="153" t="s">
        <v>112</v>
      </c>
      <c r="D124" s="95" t="s">
        <v>59</v>
      </c>
      <c r="E124" s="426"/>
      <c r="F124" s="24" t="s">
        <v>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6">
        <v>0</v>
      </c>
      <c r="M124" s="6">
        <v>0</v>
      </c>
      <c r="N124" s="6">
        <f t="shared" si="3"/>
        <v>0</v>
      </c>
      <c r="O124" s="6">
        <v>1200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f t="shared" si="7"/>
        <v>1200</v>
      </c>
    </row>
    <row r="125" spans="1:21" s="7" customFormat="1" ht="48.75" hidden="1" customHeight="1" outlineLevel="3" x14ac:dyDescent="0.2">
      <c r="A125" s="33"/>
      <c r="B125" s="439"/>
      <c r="C125" s="153" t="s">
        <v>113</v>
      </c>
      <c r="D125" s="95" t="s">
        <v>59</v>
      </c>
      <c r="E125" s="426"/>
      <c r="F125" s="24" t="s">
        <v>11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6">
        <v>0</v>
      </c>
      <c r="M125" s="6">
        <v>1000</v>
      </c>
      <c r="N125" s="6">
        <f t="shared" si="3"/>
        <v>1000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f t="shared" si="7"/>
        <v>1000</v>
      </c>
    </row>
    <row r="126" spans="1:21" s="7" customFormat="1" ht="44.25" hidden="1" customHeight="1" outlineLevel="3" x14ac:dyDescent="0.2">
      <c r="A126" s="33"/>
      <c r="B126" s="439"/>
      <c r="C126" s="153" t="s">
        <v>114</v>
      </c>
      <c r="D126" s="95" t="s">
        <v>59</v>
      </c>
      <c r="E126" s="426"/>
      <c r="F126" s="24" t="s">
        <v>11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6">
        <v>0</v>
      </c>
      <c r="M126" s="6">
        <v>0</v>
      </c>
      <c r="N126" s="6">
        <f t="shared" si="3"/>
        <v>0</v>
      </c>
      <c r="O126" s="6">
        <v>300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f t="shared" si="7"/>
        <v>300</v>
      </c>
    </row>
    <row r="127" spans="1:21" s="7" customFormat="1" ht="48.75" hidden="1" customHeight="1" outlineLevel="3" x14ac:dyDescent="0.2">
      <c r="A127" s="33"/>
      <c r="B127" s="439"/>
      <c r="C127" s="153" t="s">
        <v>115</v>
      </c>
      <c r="D127" s="95" t="s">
        <v>59</v>
      </c>
      <c r="E127" s="426"/>
      <c r="F127" s="24" t="s">
        <v>11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6">
        <v>0</v>
      </c>
      <c r="M127" s="6">
        <v>0</v>
      </c>
      <c r="N127" s="6">
        <f t="shared" si="3"/>
        <v>0</v>
      </c>
      <c r="O127" s="6">
        <v>350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f t="shared" si="7"/>
        <v>350</v>
      </c>
    </row>
    <row r="128" spans="1:21" s="7" customFormat="1" ht="43.5" hidden="1" customHeight="1" outlineLevel="3" x14ac:dyDescent="0.2">
      <c r="A128" s="33"/>
      <c r="B128" s="439"/>
      <c r="C128" s="153" t="s">
        <v>116</v>
      </c>
      <c r="D128" s="96" t="s">
        <v>59</v>
      </c>
      <c r="E128" s="426"/>
      <c r="F128" s="24" t="s">
        <v>11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6">
        <v>0</v>
      </c>
      <c r="M128" s="6">
        <v>0</v>
      </c>
      <c r="N128" s="6">
        <f t="shared" si="3"/>
        <v>0</v>
      </c>
      <c r="O128" s="6">
        <v>400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f t="shared" si="7"/>
        <v>400</v>
      </c>
    </row>
    <row r="129" spans="1:21" s="7" customFormat="1" ht="45.75" hidden="1" customHeight="1" outlineLevel="3" x14ac:dyDescent="0.2">
      <c r="A129" s="33"/>
      <c r="B129" s="439"/>
      <c r="C129" s="153" t="s">
        <v>117</v>
      </c>
      <c r="D129" s="95" t="s">
        <v>59</v>
      </c>
      <c r="E129" s="426"/>
      <c r="F129" s="24" t="s">
        <v>11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6">
        <v>0</v>
      </c>
      <c r="M129" s="6">
        <f>5000-5000</f>
        <v>0</v>
      </c>
      <c r="N129" s="6">
        <f t="shared" si="3"/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f t="shared" si="7"/>
        <v>0</v>
      </c>
    </row>
    <row r="130" spans="1:21" s="7" customFormat="1" ht="39.75" hidden="1" customHeight="1" outlineLevel="3" x14ac:dyDescent="0.2">
      <c r="A130" s="33"/>
      <c r="B130" s="439"/>
      <c r="C130" s="153" t="s">
        <v>118</v>
      </c>
      <c r="D130" s="95" t="s">
        <v>59</v>
      </c>
      <c r="E130" s="426"/>
      <c r="F130" s="24" t="s">
        <v>11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6">
        <v>0</v>
      </c>
      <c r="M130" s="6">
        <v>0</v>
      </c>
      <c r="N130" s="6">
        <f t="shared" si="3"/>
        <v>0</v>
      </c>
      <c r="O130" s="6">
        <v>12000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f t="shared" si="7"/>
        <v>12000</v>
      </c>
    </row>
    <row r="131" spans="1:21" s="7" customFormat="1" ht="50.25" hidden="1" customHeight="1" outlineLevel="3" x14ac:dyDescent="0.2">
      <c r="A131" s="33"/>
      <c r="B131" s="439"/>
      <c r="C131" s="153" t="s">
        <v>119</v>
      </c>
      <c r="D131" s="95" t="s">
        <v>59</v>
      </c>
      <c r="E131" s="426"/>
      <c r="F131" s="24" t="s">
        <v>11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6">
        <v>0</v>
      </c>
      <c r="M131" s="6">
        <f>18000-488.9+99.5</f>
        <v>17610.599999999999</v>
      </c>
      <c r="N131" s="6">
        <f t="shared" si="3"/>
        <v>17610.599999999999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f t="shared" si="7"/>
        <v>17610.599999999999</v>
      </c>
    </row>
    <row r="132" spans="1:21" s="7" customFormat="1" ht="48" hidden="1" customHeight="1" outlineLevel="3" x14ac:dyDescent="0.2">
      <c r="A132" s="33"/>
      <c r="B132" s="439"/>
      <c r="C132" s="153" t="s">
        <v>120</v>
      </c>
      <c r="D132" s="95" t="s">
        <v>59</v>
      </c>
      <c r="E132" s="426"/>
      <c r="F132" s="24" t="s">
        <v>11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6">
        <v>0</v>
      </c>
      <c r="M132" s="6">
        <v>0</v>
      </c>
      <c r="N132" s="6">
        <f t="shared" si="3"/>
        <v>0</v>
      </c>
      <c r="O132" s="6">
        <v>18000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f t="shared" si="7"/>
        <v>18000</v>
      </c>
    </row>
    <row r="133" spans="1:21" s="7" customFormat="1" ht="45.75" hidden="1" customHeight="1" outlineLevel="3" x14ac:dyDescent="0.2">
      <c r="A133" s="33"/>
      <c r="B133" s="439"/>
      <c r="C133" s="153" t="s">
        <v>197</v>
      </c>
      <c r="D133" s="95" t="s">
        <v>59</v>
      </c>
      <c r="E133" s="426"/>
      <c r="F133" s="24" t="s">
        <v>11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6">
        <v>0</v>
      </c>
      <c r="M133" s="6">
        <v>120</v>
      </c>
      <c r="N133" s="6">
        <f t="shared" si="3"/>
        <v>120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f t="shared" si="7"/>
        <v>120</v>
      </c>
    </row>
    <row r="134" spans="1:21" s="7" customFormat="1" ht="51" hidden="1" customHeight="1" outlineLevel="3" x14ac:dyDescent="0.2">
      <c r="A134" s="33"/>
      <c r="B134" s="439"/>
      <c r="C134" s="153" t="s">
        <v>186</v>
      </c>
      <c r="D134" s="97" t="s">
        <v>59</v>
      </c>
      <c r="E134" s="426"/>
      <c r="F134" s="24" t="s">
        <v>11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6">
        <v>0</v>
      </c>
      <c r="M134" s="6">
        <v>135</v>
      </c>
      <c r="N134" s="6">
        <f t="shared" si="3"/>
        <v>135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f t="shared" si="7"/>
        <v>135</v>
      </c>
    </row>
    <row r="135" spans="1:21" s="7" customFormat="1" ht="45.75" hidden="1" customHeight="1" outlineLevel="3" x14ac:dyDescent="0.2">
      <c r="A135" s="33"/>
      <c r="B135" s="439"/>
      <c r="C135" s="153" t="s">
        <v>121</v>
      </c>
      <c r="D135" s="97" t="s">
        <v>59</v>
      </c>
      <c r="E135" s="426"/>
      <c r="F135" s="24" t="s">
        <v>11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6">
        <v>0</v>
      </c>
      <c r="M135" s="6">
        <v>0</v>
      </c>
      <c r="N135" s="6">
        <f t="shared" si="3"/>
        <v>0</v>
      </c>
      <c r="O135" s="6">
        <v>300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f t="shared" si="7"/>
        <v>300</v>
      </c>
    </row>
    <row r="136" spans="1:21" s="7" customFormat="1" ht="48.75" hidden="1" customHeight="1" outlineLevel="3" x14ac:dyDescent="0.2">
      <c r="A136" s="33"/>
      <c r="B136" s="439"/>
      <c r="C136" s="153" t="s">
        <v>198</v>
      </c>
      <c r="D136" s="95" t="s">
        <v>59</v>
      </c>
      <c r="E136" s="426"/>
      <c r="F136" s="24" t="s">
        <v>11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6">
        <v>0</v>
      </c>
      <c r="M136" s="6">
        <v>0</v>
      </c>
      <c r="N136" s="6">
        <f t="shared" si="3"/>
        <v>0</v>
      </c>
      <c r="O136" s="6">
        <v>350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f t="shared" si="7"/>
        <v>350</v>
      </c>
    </row>
    <row r="137" spans="1:21" s="7" customFormat="1" ht="43.5" hidden="1" customHeight="1" outlineLevel="3" x14ac:dyDescent="0.2">
      <c r="A137" s="33"/>
      <c r="B137" s="439"/>
      <c r="C137" s="154" t="s">
        <v>199</v>
      </c>
      <c r="D137" s="96" t="s">
        <v>59</v>
      </c>
      <c r="E137" s="426"/>
      <c r="F137" s="24" t="s">
        <v>11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6">
        <f>700-700</f>
        <v>0</v>
      </c>
      <c r="M137" s="6">
        <f>880</f>
        <v>880</v>
      </c>
      <c r="N137" s="6">
        <f t="shared" si="3"/>
        <v>880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f t="shared" si="7"/>
        <v>880</v>
      </c>
    </row>
    <row r="138" spans="1:21" s="7" customFormat="1" ht="53.25" hidden="1" customHeight="1" outlineLevel="3" x14ac:dyDescent="0.2">
      <c r="A138" s="33"/>
      <c r="B138" s="439"/>
      <c r="C138" s="155" t="s">
        <v>200</v>
      </c>
      <c r="D138" s="93" t="s">
        <v>59</v>
      </c>
      <c r="E138" s="426"/>
      <c r="F138" s="24" t="s">
        <v>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6">
        <v>0</v>
      </c>
      <c r="M138" s="6">
        <v>1750</v>
      </c>
      <c r="N138" s="6">
        <f t="shared" si="3"/>
        <v>1750</v>
      </c>
      <c r="O138" s="6">
        <v>2200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f t="shared" si="7"/>
        <v>3950</v>
      </c>
    </row>
    <row r="139" spans="1:21" s="7" customFormat="1" ht="48.75" hidden="1" customHeight="1" outlineLevel="3" x14ac:dyDescent="0.2">
      <c r="A139" s="33"/>
      <c r="B139" s="439"/>
      <c r="C139" s="153" t="s">
        <v>122</v>
      </c>
      <c r="D139" s="95" t="s">
        <v>59</v>
      </c>
      <c r="E139" s="426"/>
      <c r="F139" s="24" t="s">
        <v>11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6">
        <v>500</v>
      </c>
      <c r="M139" s="6">
        <v>0</v>
      </c>
      <c r="N139" s="6">
        <f t="shared" si="3"/>
        <v>500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f t="shared" si="7"/>
        <v>500</v>
      </c>
    </row>
    <row r="140" spans="1:21" s="7" customFormat="1" ht="45.75" hidden="1" customHeight="1" outlineLevel="3" x14ac:dyDescent="0.2">
      <c r="A140" s="76"/>
      <c r="B140" s="439"/>
      <c r="C140" s="153" t="s">
        <v>123</v>
      </c>
      <c r="D140" s="95" t="s">
        <v>59</v>
      </c>
      <c r="E140" s="426"/>
      <c r="F140" s="24" t="s">
        <v>11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6">
        <v>0</v>
      </c>
      <c r="M140" s="6">
        <f>2000</f>
        <v>2000</v>
      </c>
      <c r="N140" s="6">
        <f t="shared" si="3"/>
        <v>2000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f t="shared" si="7"/>
        <v>2000</v>
      </c>
    </row>
    <row r="141" spans="1:21" s="7" customFormat="1" ht="49.5" hidden="1" customHeight="1" outlineLevel="2" collapsed="1" x14ac:dyDescent="0.2">
      <c r="A141" s="33"/>
      <c r="B141" s="439"/>
      <c r="C141" s="153" t="s">
        <v>124</v>
      </c>
      <c r="D141" s="95" t="s">
        <v>61</v>
      </c>
      <c r="E141" s="426"/>
      <c r="F141" s="24" t="s">
        <v>11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6">
        <v>20000</v>
      </c>
      <c r="M141" s="6">
        <f>22000+28000</f>
        <v>50000</v>
      </c>
      <c r="N141" s="6">
        <f t="shared" si="3"/>
        <v>70000</v>
      </c>
      <c r="O141" s="6">
        <f>24200+265.6</f>
        <v>24465.599999999999</v>
      </c>
      <c r="P141" s="6">
        <v>33993</v>
      </c>
      <c r="Q141" s="6">
        <f>36372.51</f>
        <v>36372.51</v>
      </c>
      <c r="R141" s="6">
        <f>38482.11558-38482.11558</f>
        <v>0</v>
      </c>
      <c r="S141" s="6">
        <f>40714.07828364-40714.07828364</f>
        <v>0</v>
      </c>
      <c r="T141" s="6">
        <v>43075.494824091133</v>
      </c>
      <c r="U141" s="6">
        <f t="shared" si="7"/>
        <v>207906.60482409113</v>
      </c>
    </row>
    <row r="142" spans="1:21" s="7" customFormat="1" ht="42.75" hidden="1" customHeight="1" outlineLevel="3" x14ac:dyDescent="0.2">
      <c r="A142" s="33"/>
      <c r="B142" s="209"/>
      <c r="C142" s="153" t="s">
        <v>125</v>
      </c>
      <c r="D142" s="95" t="s">
        <v>59</v>
      </c>
      <c r="E142" s="10"/>
      <c r="F142" s="24" t="s">
        <v>11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6">
        <f>4000+349.7-4349.7</f>
        <v>0</v>
      </c>
      <c r="M142" s="6">
        <f>0+4349.7</f>
        <v>4349.7</v>
      </c>
      <c r="N142" s="6">
        <f t="shared" ref="N142:N205" si="8">G142+H142+I142+J142+K142+L142+M142</f>
        <v>4349.7</v>
      </c>
      <c r="O142" s="6">
        <f>2100-2100</f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f t="shared" si="7"/>
        <v>4349.7</v>
      </c>
    </row>
    <row r="143" spans="1:21" s="7" customFormat="1" ht="43.5" hidden="1" customHeight="1" outlineLevel="3" x14ac:dyDescent="0.2">
      <c r="A143" s="33"/>
      <c r="B143" s="209"/>
      <c r="C143" s="153" t="s">
        <v>126</v>
      </c>
      <c r="D143" s="95" t="s">
        <v>59</v>
      </c>
      <c r="E143" s="10"/>
      <c r="F143" s="24" t="s">
        <v>11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6">
        <v>4500</v>
      </c>
      <c r="M143" s="6">
        <f>5000-5000</f>
        <v>0</v>
      </c>
      <c r="N143" s="6">
        <f t="shared" si="8"/>
        <v>4500</v>
      </c>
      <c r="O143" s="6">
        <v>5500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f t="shared" si="7"/>
        <v>10000</v>
      </c>
    </row>
    <row r="144" spans="1:21" s="7" customFormat="1" ht="45" hidden="1" customHeight="1" outlineLevel="3" x14ac:dyDescent="0.2">
      <c r="A144" s="33"/>
      <c r="B144" s="209"/>
      <c r="C144" s="153" t="s">
        <v>127</v>
      </c>
      <c r="D144" s="95" t="s">
        <v>59</v>
      </c>
      <c r="E144" s="10"/>
      <c r="F144" s="24" t="s">
        <v>11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6">
        <f>4000-349.7</f>
        <v>3650.3</v>
      </c>
      <c r="M144" s="6">
        <v>0</v>
      </c>
      <c r="N144" s="6">
        <f t="shared" si="8"/>
        <v>3650.3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f t="shared" si="7"/>
        <v>3650.3</v>
      </c>
    </row>
    <row r="145" spans="1:21" s="7" customFormat="1" ht="43.5" hidden="1" customHeight="1" outlineLevel="3" x14ac:dyDescent="0.2">
      <c r="A145" s="33"/>
      <c r="B145" s="209"/>
      <c r="C145" s="153" t="s">
        <v>128</v>
      </c>
      <c r="D145" s="95" t="s">
        <v>61</v>
      </c>
      <c r="E145" s="10"/>
      <c r="F145" s="24" t="s">
        <v>11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6">
        <v>0</v>
      </c>
      <c r="M145" s="6">
        <f>2500</f>
        <v>2500</v>
      </c>
      <c r="N145" s="6">
        <f t="shared" si="8"/>
        <v>2500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7800</v>
      </c>
      <c r="U145" s="6">
        <f t="shared" si="7"/>
        <v>10300</v>
      </c>
    </row>
    <row r="146" spans="1:21" s="91" customFormat="1" ht="42" hidden="1" customHeight="1" outlineLevel="2" collapsed="1" x14ac:dyDescent="0.2">
      <c r="A146" s="33"/>
      <c r="B146" s="209"/>
      <c r="C146" s="153" t="s">
        <v>129</v>
      </c>
      <c r="D146" s="95" t="s">
        <v>255</v>
      </c>
      <c r="E146" s="10"/>
      <c r="F146" s="24" t="s">
        <v>11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6">
        <v>2500</v>
      </c>
      <c r="M146" s="6">
        <v>2750</v>
      </c>
      <c r="N146" s="6">
        <f t="shared" si="8"/>
        <v>5250</v>
      </c>
      <c r="O146" s="6">
        <f>2900+2100-500</f>
        <v>4500</v>
      </c>
      <c r="P146" s="6">
        <v>6500</v>
      </c>
      <c r="Q146" s="6">
        <v>0</v>
      </c>
      <c r="R146" s="6">
        <f>7100-7100</f>
        <v>0</v>
      </c>
      <c r="S146" s="6">
        <v>0</v>
      </c>
      <c r="T146" s="6">
        <v>0</v>
      </c>
      <c r="U146" s="6">
        <f t="shared" ref="U146:U209" si="9">SUM(G146:T146)-N146</f>
        <v>16250</v>
      </c>
    </row>
    <row r="147" spans="1:21" s="7" customFormat="1" ht="48" hidden="1" customHeight="1" outlineLevel="3" x14ac:dyDescent="0.2">
      <c r="A147" s="33"/>
      <c r="B147" s="209"/>
      <c r="C147" s="153" t="s">
        <v>130</v>
      </c>
      <c r="D147" s="96" t="s">
        <v>59</v>
      </c>
      <c r="E147" s="10"/>
      <c r="F147" s="24" t="s">
        <v>11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6">
        <v>900</v>
      </c>
      <c r="M147" s="6">
        <v>0</v>
      </c>
      <c r="N147" s="6">
        <f t="shared" si="8"/>
        <v>900</v>
      </c>
      <c r="O147" s="6">
        <v>1100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f t="shared" si="9"/>
        <v>2000</v>
      </c>
    </row>
    <row r="148" spans="1:21" s="7" customFormat="1" ht="45" hidden="1" customHeight="1" outlineLevel="3" x14ac:dyDescent="0.2">
      <c r="A148" s="33"/>
      <c r="B148" s="209"/>
      <c r="C148" s="153" t="s">
        <v>131</v>
      </c>
      <c r="D148" s="95" t="s">
        <v>59</v>
      </c>
      <c r="E148" s="10"/>
      <c r="F148" s="24" t="s">
        <v>11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6">
        <v>300</v>
      </c>
      <c r="M148" s="6">
        <f>330-330</f>
        <v>0</v>
      </c>
      <c r="N148" s="6">
        <f t="shared" si="8"/>
        <v>300</v>
      </c>
      <c r="O148" s="6">
        <f>370-265.6</f>
        <v>104.39999999999998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f t="shared" si="9"/>
        <v>404.4</v>
      </c>
    </row>
    <row r="149" spans="1:21" s="7" customFormat="1" ht="39.75" hidden="1" customHeight="1" outlineLevel="2" collapsed="1" x14ac:dyDescent="0.2">
      <c r="A149" s="33"/>
      <c r="B149" s="209"/>
      <c r="C149" s="153" t="s">
        <v>132</v>
      </c>
      <c r="D149" s="95" t="s">
        <v>59</v>
      </c>
      <c r="E149" s="10"/>
      <c r="F149" s="24" t="s">
        <v>11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6">
        <v>0</v>
      </c>
      <c r="M149" s="6">
        <v>0</v>
      </c>
      <c r="N149" s="6">
        <f t="shared" si="8"/>
        <v>0</v>
      </c>
      <c r="O149" s="6">
        <v>4000</v>
      </c>
      <c r="P149" s="6">
        <v>0</v>
      </c>
      <c r="Q149" s="6">
        <v>0</v>
      </c>
      <c r="R149" s="6">
        <v>0</v>
      </c>
      <c r="S149" s="6">
        <f>6157-6157</f>
        <v>0</v>
      </c>
      <c r="T149" s="6">
        <v>0</v>
      </c>
      <c r="U149" s="6">
        <f t="shared" si="9"/>
        <v>4000</v>
      </c>
    </row>
    <row r="150" spans="1:21" s="7" customFormat="1" ht="44.25" hidden="1" customHeight="1" outlineLevel="2" x14ac:dyDescent="0.2">
      <c r="A150" s="33"/>
      <c r="B150" s="209"/>
      <c r="C150" s="153" t="s">
        <v>133</v>
      </c>
      <c r="D150" s="95" t="s">
        <v>59</v>
      </c>
      <c r="E150" s="10"/>
      <c r="F150" s="24" t="s">
        <v>11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6">
        <v>0</v>
      </c>
      <c r="M150" s="6">
        <f>7000-2000</f>
        <v>5000</v>
      </c>
      <c r="N150" s="6">
        <f t="shared" si="8"/>
        <v>5000</v>
      </c>
      <c r="O150" s="6">
        <v>7700</v>
      </c>
      <c r="P150" s="6">
        <v>0</v>
      </c>
      <c r="Q150" s="6">
        <v>0</v>
      </c>
      <c r="R150" s="6">
        <v>0</v>
      </c>
      <c r="S150" s="6">
        <f>9500-9500</f>
        <v>0</v>
      </c>
      <c r="T150" s="6">
        <v>0</v>
      </c>
      <c r="U150" s="6">
        <f t="shared" si="9"/>
        <v>12700</v>
      </c>
    </row>
    <row r="151" spans="1:21" s="7" customFormat="1" ht="41.25" hidden="1" customHeight="1" outlineLevel="3" x14ac:dyDescent="0.2">
      <c r="A151" s="33"/>
      <c r="B151" s="209"/>
      <c r="C151" s="153" t="s">
        <v>134</v>
      </c>
      <c r="D151" s="95" t="s">
        <v>59</v>
      </c>
      <c r="E151" s="10"/>
      <c r="F151" s="24" t="s">
        <v>11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6">
        <f>5000-2397</f>
        <v>2603</v>
      </c>
      <c r="M151" s="6">
        <f>5500</f>
        <v>5500</v>
      </c>
      <c r="N151" s="6">
        <f t="shared" si="8"/>
        <v>8103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f t="shared" si="9"/>
        <v>8103</v>
      </c>
    </row>
    <row r="152" spans="1:21" s="7" customFormat="1" ht="42" hidden="1" customHeight="1" outlineLevel="2" collapsed="1" x14ac:dyDescent="0.2">
      <c r="A152" s="33"/>
      <c r="B152" s="209"/>
      <c r="C152" s="153" t="s">
        <v>135</v>
      </c>
      <c r="D152" s="95" t="s">
        <v>260</v>
      </c>
      <c r="E152" s="10"/>
      <c r="F152" s="24" t="s">
        <v>11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6">
        <v>65000</v>
      </c>
      <c r="M152" s="6">
        <v>0</v>
      </c>
      <c r="N152" s="6">
        <f t="shared" si="8"/>
        <v>65000</v>
      </c>
      <c r="O152" s="6">
        <v>0</v>
      </c>
      <c r="P152" s="6">
        <v>0</v>
      </c>
      <c r="Q152" s="6">
        <f>212000-212000</f>
        <v>0</v>
      </c>
      <c r="R152" s="6">
        <v>0</v>
      </c>
      <c r="S152" s="6">
        <v>0</v>
      </c>
      <c r="T152" s="6">
        <v>0</v>
      </c>
      <c r="U152" s="6">
        <f t="shared" si="9"/>
        <v>65000</v>
      </c>
    </row>
    <row r="153" spans="1:21" s="7" customFormat="1" ht="46.5" hidden="1" customHeight="1" outlineLevel="5" x14ac:dyDescent="0.2">
      <c r="A153" s="33"/>
      <c r="B153" s="209"/>
      <c r="C153" s="153" t="s">
        <v>201</v>
      </c>
      <c r="D153" s="95" t="s">
        <v>61</v>
      </c>
      <c r="E153" s="10"/>
      <c r="F153" s="24" t="s">
        <v>11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6">
        <v>0</v>
      </c>
      <c r="M153" s="6">
        <f>7700-7700</f>
        <v>0</v>
      </c>
      <c r="N153" s="6">
        <f t="shared" si="8"/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16300</v>
      </c>
      <c r="U153" s="6">
        <f t="shared" si="9"/>
        <v>16300</v>
      </c>
    </row>
    <row r="154" spans="1:21" s="7" customFormat="1" ht="44.25" hidden="1" customHeight="1" outlineLevel="2" collapsed="1" x14ac:dyDescent="0.2">
      <c r="A154" s="33"/>
      <c r="B154" s="209"/>
      <c r="C154" s="154" t="s">
        <v>273</v>
      </c>
      <c r="D154" s="96" t="s">
        <v>59</v>
      </c>
      <c r="E154" s="10"/>
      <c r="F154" s="24" t="s">
        <v>11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6">
        <v>0</v>
      </c>
      <c r="M154" s="6">
        <v>0</v>
      </c>
      <c r="N154" s="6">
        <f t="shared" si="8"/>
        <v>0</v>
      </c>
      <c r="O154" s="6">
        <v>8500</v>
      </c>
      <c r="P154" s="6">
        <v>0</v>
      </c>
      <c r="Q154" s="6">
        <v>0</v>
      </c>
      <c r="R154" s="6">
        <v>0</v>
      </c>
      <c r="S154" s="6">
        <f>3860-3860</f>
        <v>0</v>
      </c>
      <c r="T154" s="6">
        <v>0</v>
      </c>
      <c r="U154" s="6">
        <f t="shared" si="9"/>
        <v>8500</v>
      </c>
    </row>
    <row r="155" spans="1:21" s="7" customFormat="1" ht="69" hidden="1" customHeight="1" outlineLevel="5" x14ac:dyDescent="0.2">
      <c r="A155" s="33"/>
      <c r="B155" s="209"/>
      <c r="C155" s="155" t="s">
        <v>212</v>
      </c>
      <c r="D155" s="93" t="s">
        <v>59</v>
      </c>
      <c r="E155" s="10"/>
      <c r="F155" s="24" t="s">
        <v>11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6">
        <v>78600</v>
      </c>
      <c r="M155" s="6">
        <v>78400</v>
      </c>
      <c r="N155" s="6">
        <f t="shared" si="8"/>
        <v>157000</v>
      </c>
      <c r="O155" s="6">
        <v>78500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f t="shared" si="9"/>
        <v>235500</v>
      </c>
    </row>
    <row r="156" spans="1:21" s="7" customFormat="1" ht="46.5" hidden="1" customHeight="1" outlineLevel="5" collapsed="1" x14ac:dyDescent="0.2">
      <c r="A156" s="33"/>
      <c r="B156" s="209"/>
      <c r="C156" s="156" t="s">
        <v>136</v>
      </c>
      <c r="D156" s="95" t="s">
        <v>256</v>
      </c>
      <c r="E156" s="10"/>
      <c r="F156" s="24" t="s">
        <v>11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6">
        <v>46839</v>
      </c>
      <c r="M156" s="6">
        <v>52023</v>
      </c>
      <c r="N156" s="6">
        <f t="shared" si="8"/>
        <v>98862</v>
      </c>
      <c r="O156" s="6">
        <v>100985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f t="shared" si="9"/>
        <v>199847</v>
      </c>
    </row>
    <row r="157" spans="1:21" s="7" customFormat="1" ht="54.75" hidden="1" customHeight="1" outlineLevel="2" collapsed="1" x14ac:dyDescent="0.2">
      <c r="A157" s="78"/>
      <c r="B157" s="69"/>
      <c r="C157" s="153" t="s">
        <v>137</v>
      </c>
      <c r="D157" s="95" t="s">
        <v>61</v>
      </c>
      <c r="E157" s="18"/>
      <c r="F157" s="24" t="s">
        <v>11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6">
        <v>487872.01</v>
      </c>
      <c r="M157" s="6">
        <f>565781.7-700</f>
        <v>565081.69999999995</v>
      </c>
      <c r="N157" s="6">
        <f t="shared" si="8"/>
        <v>1052953.71</v>
      </c>
      <c r="O157" s="6">
        <v>606173.69999999995</v>
      </c>
      <c r="P157" s="6">
        <v>715064.5</v>
      </c>
      <c r="Q157" s="6">
        <f>777154.5-28938.68</f>
        <v>748215.82</v>
      </c>
      <c r="R157" s="6">
        <f>837218.4-31837.45</f>
        <v>805380.95000000007</v>
      </c>
      <c r="S157" s="6">
        <f>902652.4-74671.29</f>
        <v>827981.11</v>
      </c>
      <c r="T157" s="6">
        <v>973021.7</v>
      </c>
      <c r="U157" s="6">
        <f t="shared" si="9"/>
        <v>5728791.4900000002</v>
      </c>
    </row>
    <row r="158" spans="1:21" s="7" customFormat="1" ht="47.25" hidden="1" customHeight="1" outlineLevel="3" x14ac:dyDescent="0.2">
      <c r="A158" s="33"/>
      <c r="B158" s="209"/>
      <c r="C158" s="153" t="s">
        <v>187</v>
      </c>
      <c r="D158" s="98">
        <v>2021</v>
      </c>
      <c r="E158" s="10"/>
      <c r="F158" s="24" t="s">
        <v>11</v>
      </c>
      <c r="G158" s="9">
        <v>0</v>
      </c>
      <c r="H158" s="6">
        <v>0</v>
      </c>
      <c r="I158" s="6">
        <v>0</v>
      </c>
      <c r="J158" s="6">
        <v>0</v>
      </c>
      <c r="K158" s="6">
        <v>0</v>
      </c>
      <c r="L158" s="6">
        <v>241.5</v>
      </c>
      <c r="M158" s="6">
        <v>0</v>
      </c>
      <c r="N158" s="6">
        <f t="shared" si="8"/>
        <v>241.5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f t="shared" si="9"/>
        <v>241.5</v>
      </c>
    </row>
    <row r="159" spans="1:21" s="7" customFormat="1" ht="42" hidden="1" customHeight="1" outlineLevel="3" x14ac:dyDescent="0.2">
      <c r="A159" s="76"/>
      <c r="B159" s="209"/>
      <c r="C159" s="153" t="s">
        <v>202</v>
      </c>
      <c r="D159" s="98">
        <v>2021</v>
      </c>
      <c r="E159" s="10"/>
      <c r="F159" s="24" t="s">
        <v>11</v>
      </c>
      <c r="G159" s="9">
        <v>0</v>
      </c>
      <c r="H159" s="6">
        <v>0</v>
      </c>
      <c r="I159" s="6">
        <v>0</v>
      </c>
      <c r="J159" s="6">
        <v>0</v>
      </c>
      <c r="K159" s="6">
        <v>0</v>
      </c>
      <c r="L159" s="6">
        <f>0+400</f>
        <v>400</v>
      </c>
      <c r="M159" s="6">
        <v>0</v>
      </c>
      <c r="N159" s="6">
        <f t="shared" si="8"/>
        <v>400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f t="shared" si="9"/>
        <v>400</v>
      </c>
    </row>
    <row r="160" spans="1:21" s="7" customFormat="1" ht="44.25" hidden="1" customHeight="1" outlineLevel="3" x14ac:dyDescent="0.2">
      <c r="A160" s="33"/>
      <c r="B160" s="209"/>
      <c r="C160" s="153" t="s">
        <v>138</v>
      </c>
      <c r="D160" s="98">
        <v>2021</v>
      </c>
      <c r="E160" s="10"/>
      <c r="F160" s="24" t="s">
        <v>11</v>
      </c>
      <c r="G160" s="9">
        <v>0</v>
      </c>
      <c r="H160" s="6">
        <v>0</v>
      </c>
      <c r="I160" s="6">
        <v>0</v>
      </c>
      <c r="J160" s="6">
        <v>0</v>
      </c>
      <c r="K160" s="6">
        <v>0</v>
      </c>
      <c r="L160" s="6">
        <f>0+300</f>
        <v>300</v>
      </c>
      <c r="M160" s="6">
        <v>0</v>
      </c>
      <c r="N160" s="6">
        <f t="shared" si="8"/>
        <v>300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f t="shared" si="9"/>
        <v>300</v>
      </c>
    </row>
    <row r="161" spans="1:21" s="7" customFormat="1" ht="47.25" hidden="1" customHeight="1" outlineLevel="3" x14ac:dyDescent="0.2">
      <c r="A161" s="33"/>
      <c r="B161" s="209"/>
      <c r="C161" s="153" t="s">
        <v>188</v>
      </c>
      <c r="D161" s="98">
        <v>2021</v>
      </c>
      <c r="E161" s="10"/>
      <c r="F161" s="24" t="s">
        <v>11</v>
      </c>
      <c r="G161" s="9">
        <v>0</v>
      </c>
      <c r="H161" s="6">
        <v>0</v>
      </c>
      <c r="I161" s="6">
        <v>0</v>
      </c>
      <c r="J161" s="6">
        <v>0</v>
      </c>
      <c r="K161" s="6">
        <v>0</v>
      </c>
      <c r="L161" s="6">
        <v>2397</v>
      </c>
      <c r="M161" s="6">
        <v>0</v>
      </c>
      <c r="N161" s="6">
        <f t="shared" si="8"/>
        <v>2397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f t="shared" si="9"/>
        <v>2397</v>
      </c>
    </row>
    <row r="162" spans="1:21" s="7" customFormat="1" ht="39" hidden="1" customHeight="1" outlineLevel="3" x14ac:dyDescent="0.2">
      <c r="A162" s="33"/>
      <c r="B162" s="209"/>
      <c r="C162" s="153" t="s">
        <v>139</v>
      </c>
      <c r="D162" s="99">
        <v>2022</v>
      </c>
      <c r="E162" s="10"/>
      <c r="F162" s="24" t="s">
        <v>11</v>
      </c>
      <c r="G162" s="9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2500</v>
      </c>
      <c r="N162" s="6">
        <f t="shared" si="8"/>
        <v>2500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f t="shared" si="9"/>
        <v>2500</v>
      </c>
    </row>
    <row r="163" spans="1:21" s="7" customFormat="1" ht="43.5" hidden="1" customHeight="1" outlineLevel="2" collapsed="1" x14ac:dyDescent="0.2">
      <c r="A163" s="33"/>
      <c r="B163" s="209"/>
      <c r="C163" s="153" t="s">
        <v>140</v>
      </c>
      <c r="D163" s="98" t="s">
        <v>61</v>
      </c>
      <c r="E163" s="10"/>
      <c r="F163" s="24" t="s">
        <v>11</v>
      </c>
      <c r="G163" s="9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6400</v>
      </c>
      <c r="N163" s="6">
        <f t="shared" si="8"/>
        <v>6400</v>
      </c>
      <c r="O163" s="6">
        <v>0</v>
      </c>
      <c r="P163" s="6">
        <v>0</v>
      </c>
      <c r="Q163" s="6">
        <v>0</v>
      </c>
      <c r="R163" s="6">
        <v>0</v>
      </c>
      <c r="S163" s="6">
        <f>18000-18000</f>
        <v>0</v>
      </c>
      <c r="T163" s="6">
        <v>19000</v>
      </c>
      <c r="U163" s="6">
        <f t="shared" si="9"/>
        <v>25400</v>
      </c>
    </row>
    <row r="164" spans="1:21" s="7" customFormat="1" ht="49.5" hidden="1" customHeight="1" outlineLevel="3" x14ac:dyDescent="0.2">
      <c r="A164" s="33"/>
      <c r="B164" s="209"/>
      <c r="C164" s="153" t="s">
        <v>141</v>
      </c>
      <c r="D164" s="98" t="s">
        <v>59</v>
      </c>
      <c r="E164" s="10"/>
      <c r="F164" s="24" t="s">
        <v>11</v>
      </c>
      <c r="G164" s="9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2600</v>
      </c>
      <c r="N164" s="6">
        <f t="shared" si="8"/>
        <v>2600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f t="shared" si="9"/>
        <v>2600</v>
      </c>
    </row>
    <row r="165" spans="1:21" s="7" customFormat="1" ht="47.25" hidden="1" customHeight="1" outlineLevel="3" x14ac:dyDescent="0.2">
      <c r="A165" s="33"/>
      <c r="B165" s="209"/>
      <c r="C165" s="153" t="s">
        <v>142</v>
      </c>
      <c r="D165" s="98" t="s">
        <v>59</v>
      </c>
      <c r="E165" s="10"/>
      <c r="F165" s="24" t="s">
        <v>11</v>
      </c>
      <c r="G165" s="9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1500</v>
      </c>
      <c r="N165" s="6">
        <f t="shared" si="8"/>
        <v>1500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f t="shared" si="9"/>
        <v>1500</v>
      </c>
    </row>
    <row r="166" spans="1:21" s="7" customFormat="1" ht="48" hidden="1" customHeight="1" outlineLevel="3" x14ac:dyDescent="0.2">
      <c r="A166" s="33"/>
      <c r="B166" s="209"/>
      <c r="C166" s="153" t="s">
        <v>143</v>
      </c>
      <c r="D166" s="98">
        <v>2022</v>
      </c>
      <c r="E166" s="10"/>
      <c r="F166" s="24" t="s">
        <v>11</v>
      </c>
      <c r="G166" s="9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700</v>
      </c>
      <c r="N166" s="6">
        <f t="shared" si="8"/>
        <v>700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f t="shared" si="9"/>
        <v>700</v>
      </c>
    </row>
    <row r="167" spans="1:21" s="7" customFormat="1" ht="42.75" hidden="1" customHeight="1" outlineLevel="3" x14ac:dyDescent="0.2">
      <c r="A167" s="33"/>
      <c r="B167" s="209"/>
      <c r="C167" s="153" t="s">
        <v>144</v>
      </c>
      <c r="D167" s="100">
        <v>2023</v>
      </c>
      <c r="E167" s="10"/>
      <c r="F167" s="34" t="s">
        <v>11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6">
        <v>0</v>
      </c>
      <c r="M167" s="6">
        <v>0</v>
      </c>
      <c r="N167" s="6">
        <f t="shared" si="8"/>
        <v>0</v>
      </c>
      <c r="O167" s="6">
        <v>400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f t="shared" si="9"/>
        <v>400</v>
      </c>
    </row>
    <row r="168" spans="1:21" s="91" customFormat="1" ht="42" hidden="1" customHeight="1" outlineLevel="2" collapsed="1" x14ac:dyDescent="0.2">
      <c r="A168" s="33"/>
      <c r="B168" s="209"/>
      <c r="C168" s="154" t="s">
        <v>189</v>
      </c>
      <c r="D168" s="100">
        <v>2023</v>
      </c>
      <c r="E168" s="10"/>
      <c r="F168" s="34" t="s">
        <v>11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6">
        <v>0</v>
      </c>
      <c r="M168" s="6">
        <v>0</v>
      </c>
      <c r="N168" s="6">
        <f t="shared" si="8"/>
        <v>0</v>
      </c>
      <c r="O168" s="6">
        <v>9800</v>
      </c>
      <c r="P168" s="6">
        <v>0</v>
      </c>
      <c r="Q168" s="6">
        <v>0</v>
      </c>
      <c r="R168" s="6">
        <v>0</v>
      </c>
      <c r="S168" s="6">
        <v>0</v>
      </c>
      <c r="T168" s="6">
        <f>13760-13760</f>
        <v>0</v>
      </c>
      <c r="U168" s="6">
        <f t="shared" si="9"/>
        <v>9800</v>
      </c>
    </row>
    <row r="169" spans="1:21" s="91" customFormat="1" ht="40.5" hidden="1" customHeight="1" outlineLevel="2" x14ac:dyDescent="0.2">
      <c r="A169" s="33"/>
      <c r="B169" s="32"/>
      <c r="C169" s="155" t="s">
        <v>145</v>
      </c>
      <c r="D169" s="92">
        <v>2023</v>
      </c>
      <c r="E169" s="10"/>
      <c r="F169" s="127" t="s">
        <v>11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2">
        <v>0</v>
      </c>
      <c r="M169" s="22">
        <v>0</v>
      </c>
      <c r="N169" s="22">
        <f t="shared" si="8"/>
        <v>0</v>
      </c>
      <c r="O169" s="22">
        <v>4100</v>
      </c>
      <c r="P169" s="22">
        <v>0</v>
      </c>
      <c r="Q169" s="22">
        <v>0</v>
      </c>
      <c r="R169" s="22">
        <v>0</v>
      </c>
      <c r="S169" s="22">
        <v>0</v>
      </c>
      <c r="T169" s="22">
        <f>5757-5757</f>
        <v>0</v>
      </c>
      <c r="U169" s="22">
        <f t="shared" si="9"/>
        <v>4100</v>
      </c>
    </row>
    <row r="170" spans="1:21" s="7" customFormat="1" ht="46.5" hidden="1" customHeight="1" outlineLevel="3" x14ac:dyDescent="0.2">
      <c r="A170" s="33"/>
      <c r="B170" s="32"/>
      <c r="C170" s="153" t="s">
        <v>146</v>
      </c>
      <c r="D170" s="101">
        <v>2023</v>
      </c>
      <c r="E170" s="35"/>
      <c r="F170" s="34" t="s">
        <v>11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6">
        <v>0</v>
      </c>
      <c r="M170" s="6">
        <v>0</v>
      </c>
      <c r="N170" s="6">
        <f t="shared" si="8"/>
        <v>0</v>
      </c>
      <c r="O170" s="6">
        <v>720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f t="shared" si="9"/>
        <v>720</v>
      </c>
    </row>
    <row r="171" spans="1:21" s="7" customFormat="1" ht="45.75" hidden="1" customHeight="1" outlineLevel="3" x14ac:dyDescent="0.2">
      <c r="A171" s="33"/>
      <c r="B171" s="32"/>
      <c r="C171" s="153" t="s">
        <v>229</v>
      </c>
      <c r="D171" s="102" t="s">
        <v>73</v>
      </c>
      <c r="E171" s="36"/>
      <c r="F171" s="79" t="s">
        <v>11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5">
        <v>0</v>
      </c>
      <c r="M171" s="65">
        <v>0</v>
      </c>
      <c r="N171" s="6">
        <f t="shared" si="8"/>
        <v>0</v>
      </c>
      <c r="O171" s="65">
        <v>0</v>
      </c>
      <c r="P171" s="6">
        <v>273</v>
      </c>
      <c r="Q171" s="66">
        <v>0</v>
      </c>
      <c r="R171" s="66">
        <v>0</v>
      </c>
      <c r="S171" s="66">
        <v>0</v>
      </c>
      <c r="T171" s="65">
        <f>700-700</f>
        <v>0</v>
      </c>
      <c r="U171" s="6">
        <f t="shared" si="9"/>
        <v>273</v>
      </c>
    </row>
    <row r="172" spans="1:21" s="7" customFormat="1" ht="39.75" hidden="1" customHeight="1" outlineLevel="2" collapsed="1" x14ac:dyDescent="0.2">
      <c r="A172" s="33"/>
      <c r="B172" s="32"/>
      <c r="C172" s="153" t="s">
        <v>147</v>
      </c>
      <c r="D172" s="102" t="s">
        <v>73</v>
      </c>
      <c r="E172" s="32"/>
      <c r="F172" s="79" t="s">
        <v>11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5">
        <v>0</v>
      </c>
      <c r="M172" s="65">
        <v>0</v>
      </c>
      <c r="N172" s="6">
        <f t="shared" si="8"/>
        <v>0</v>
      </c>
      <c r="O172" s="65">
        <v>0</v>
      </c>
      <c r="P172" s="6">
        <v>3550</v>
      </c>
      <c r="Q172" s="65">
        <v>0</v>
      </c>
      <c r="R172" s="65">
        <v>0</v>
      </c>
      <c r="S172" s="6">
        <f>4250-4250</f>
        <v>0</v>
      </c>
      <c r="T172" s="65">
        <v>0</v>
      </c>
      <c r="U172" s="6">
        <f t="shared" si="9"/>
        <v>3550</v>
      </c>
    </row>
    <row r="173" spans="1:21" s="7" customFormat="1" ht="48" hidden="1" customHeight="1" outlineLevel="3" x14ac:dyDescent="0.2">
      <c r="A173" s="33"/>
      <c r="B173" s="32"/>
      <c r="C173" s="153" t="s">
        <v>222</v>
      </c>
      <c r="D173" s="102" t="s">
        <v>73</v>
      </c>
      <c r="E173" s="32"/>
      <c r="F173" s="79" t="s">
        <v>11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5">
        <v>0</v>
      </c>
      <c r="M173" s="65">
        <v>0</v>
      </c>
      <c r="N173" s="6">
        <f t="shared" si="8"/>
        <v>0</v>
      </c>
      <c r="O173" s="65">
        <v>0</v>
      </c>
      <c r="P173" s="6">
        <v>1150</v>
      </c>
      <c r="Q173" s="66">
        <v>0</v>
      </c>
      <c r="R173" s="66">
        <v>0</v>
      </c>
      <c r="S173" s="66">
        <v>0</v>
      </c>
      <c r="T173" s="65">
        <f>700-700</f>
        <v>0</v>
      </c>
      <c r="U173" s="6">
        <f t="shared" si="9"/>
        <v>1150</v>
      </c>
    </row>
    <row r="174" spans="1:21" s="7" customFormat="1" ht="43.5" hidden="1" customHeight="1" outlineLevel="3" x14ac:dyDescent="0.2">
      <c r="A174" s="33"/>
      <c r="B174" s="32"/>
      <c r="C174" s="153" t="s">
        <v>223</v>
      </c>
      <c r="D174" s="102" t="s">
        <v>73</v>
      </c>
      <c r="E174" s="32"/>
      <c r="F174" s="79" t="s">
        <v>11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5">
        <v>0</v>
      </c>
      <c r="M174" s="65">
        <v>0</v>
      </c>
      <c r="N174" s="6">
        <f t="shared" si="8"/>
        <v>0</v>
      </c>
      <c r="O174" s="65">
        <v>0</v>
      </c>
      <c r="P174" s="6">
        <v>420</v>
      </c>
      <c r="Q174" s="66">
        <v>0</v>
      </c>
      <c r="R174" s="66">
        <v>0</v>
      </c>
      <c r="S174" s="66">
        <v>0</v>
      </c>
      <c r="T174" s="65">
        <f>700-700</f>
        <v>0</v>
      </c>
      <c r="U174" s="6">
        <f t="shared" si="9"/>
        <v>420</v>
      </c>
    </row>
    <row r="175" spans="1:21" s="7" customFormat="1" ht="43.5" hidden="1" customHeight="1" outlineLevel="3" x14ac:dyDescent="0.2">
      <c r="A175" s="33"/>
      <c r="B175" s="32"/>
      <c r="C175" s="153" t="s">
        <v>224</v>
      </c>
      <c r="D175" s="102" t="s">
        <v>73</v>
      </c>
      <c r="E175" s="32"/>
      <c r="F175" s="79" t="s">
        <v>11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5">
        <v>0</v>
      </c>
      <c r="M175" s="65">
        <v>0</v>
      </c>
      <c r="N175" s="6">
        <f t="shared" si="8"/>
        <v>0</v>
      </c>
      <c r="O175" s="65">
        <v>0</v>
      </c>
      <c r="P175" s="6">
        <v>5700</v>
      </c>
      <c r="Q175" s="66">
        <v>0</v>
      </c>
      <c r="R175" s="66">
        <v>0</v>
      </c>
      <c r="S175" s="66">
        <v>0</v>
      </c>
      <c r="T175" s="65">
        <f>700-700</f>
        <v>0</v>
      </c>
      <c r="U175" s="6">
        <f t="shared" si="9"/>
        <v>5700</v>
      </c>
    </row>
    <row r="176" spans="1:21" s="91" customFormat="1" ht="42" hidden="1" customHeight="1" outlineLevel="2" collapsed="1" x14ac:dyDescent="0.2">
      <c r="A176" s="33"/>
      <c r="B176" s="32"/>
      <c r="C176" s="153" t="s">
        <v>225</v>
      </c>
      <c r="D176" s="102" t="s">
        <v>73</v>
      </c>
      <c r="E176" s="32"/>
      <c r="F176" s="79" t="s">
        <v>11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5">
        <v>0</v>
      </c>
      <c r="M176" s="65">
        <v>0</v>
      </c>
      <c r="N176" s="6">
        <f t="shared" si="8"/>
        <v>0</v>
      </c>
      <c r="O176" s="66">
        <v>0</v>
      </c>
      <c r="P176" s="66">
        <v>0</v>
      </c>
      <c r="Q176" s="66">
        <v>0</v>
      </c>
      <c r="R176" s="65">
        <v>0</v>
      </c>
      <c r="S176" s="65">
        <v>0</v>
      </c>
      <c r="T176" s="6">
        <f>8500-8500</f>
        <v>0</v>
      </c>
      <c r="U176" s="6">
        <f t="shared" si="9"/>
        <v>0</v>
      </c>
    </row>
    <row r="177" spans="1:21" s="7" customFormat="1" ht="45.75" hidden="1" customHeight="1" outlineLevel="3" x14ac:dyDescent="0.2">
      <c r="A177" s="33"/>
      <c r="B177" s="32"/>
      <c r="C177" s="153" t="s">
        <v>226</v>
      </c>
      <c r="D177" s="102" t="s">
        <v>73</v>
      </c>
      <c r="E177" s="32"/>
      <c r="F177" s="79" t="s">
        <v>11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5">
        <v>0</v>
      </c>
      <c r="M177" s="65">
        <v>0</v>
      </c>
      <c r="N177" s="6">
        <f t="shared" si="8"/>
        <v>0</v>
      </c>
      <c r="O177" s="66">
        <v>0</v>
      </c>
      <c r="P177" s="6">
        <v>12500</v>
      </c>
      <c r="Q177" s="66">
        <v>0</v>
      </c>
      <c r="R177" s="66">
        <v>0</v>
      </c>
      <c r="S177" s="66">
        <v>0</v>
      </c>
      <c r="T177" s="65">
        <f>700-700</f>
        <v>0</v>
      </c>
      <c r="U177" s="6">
        <f t="shared" si="9"/>
        <v>12500</v>
      </c>
    </row>
    <row r="178" spans="1:21" s="7" customFormat="1" ht="41.25" hidden="1" customHeight="1" outlineLevel="3" x14ac:dyDescent="0.2">
      <c r="A178" s="33"/>
      <c r="B178" s="32"/>
      <c r="C178" s="153" t="s">
        <v>227</v>
      </c>
      <c r="D178" s="102" t="s">
        <v>73</v>
      </c>
      <c r="E178" s="32"/>
      <c r="F178" s="79" t="s">
        <v>11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5">
        <v>0</v>
      </c>
      <c r="M178" s="65">
        <v>0</v>
      </c>
      <c r="N178" s="6">
        <f t="shared" si="8"/>
        <v>0</v>
      </c>
      <c r="O178" s="66">
        <v>0</v>
      </c>
      <c r="P178" s="6">
        <v>5400</v>
      </c>
      <c r="Q178" s="66">
        <v>0</v>
      </c>
      <c r="R178" s="66">
        <v>0</v>
      </c>
      <c r="S178" s="66">
        <v>0</v>
      </c>
      <c r="T178" s="65">
        <f>700-700</f>
        <v>0</v>
      </c>
      <c r="U178" s="6">
        <f t="shared" si="9"/>
        <v>5400</v>
      </c>
    </row>
    <row r="179" spans="1:21" s="7" customFormat="1" ht="46.5" hidden="1" customHeight="1" outlineLevel="3" x14ac:dyDescent="0.2">
      <c r="A179" s="76"/>
      <c r="B179" s="77"/>
      <c r="C179" s="153" t="s">
        <v>228</v>
      </c>
      <c r="D179" s="102" t="s">
        <v>73</v>
      </c>
      <c r="E179" s="77"/>
      <c r="F179" s="79" t="s">
        <v>11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5">
        <v>0</v>
      </c>
      <c r="M179" s="65">
        <v>0</v>
      </c>
      <c r="N179" s="6">
        <f t="shared" si="8"/>
        <v>0</v>
      </c>
      <c r="O179" s="66">
        <v>0</v>
      </c>
      <c r="P179" s="6">
        <v>2800</v>
      </c>
      <c r="Q179" s="66">
        <v>0</v>
      </c>
      <c r="R179" s="66">
        <v>0</v>
      </c>
      <c r="S179" s="66">
        <v>0</v>
      </c>
      <c r="T179" s="65">
        <f>700-700</f>
        <v>0</v>
      </c>
      <c r="U179" s="6">
        <f t="shared" si="9"/>
        <v>2800</v>
      </c>
    </row>
    <row r="180" spans="1:21" s="7" customFormat="1" ht="40.5" hidden="1" customHeight="1" outlineLevel="3" x14ac:dyDescent="0.2">
      <c r="A180" s="33"/>
      <c r="B180" s="32"/>
      <c r="C180" s="153" t="s">
        <v>243</v>
      </c>
      <c r="D180" s="102" t="s">
        <v>73</v>
      </c>
      <c r="E180" s="32"/>
      <c r="F180" s="79" t="s">
        <v>11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5">
        <v>0</v>
      </c>
      <c r="M180" s="65">
        <v>0</v>
      </c>
      <c r="N180" s="6">
        <f t="shared" si="8"/>
        <v>0</v>
      </c>
      <c r="O180" s="66">
        <v>0</v>
      </c>
      <c r="P180" s="6">
        <v>650</v>
      </c>
      <c r="Q180" s="66">
        <v>0</v>
      </c>
      <c r="R180" s="6">
        <v>0</v>
      </c>
      <c r="S180" s="66">
        <v>0</v>
      </c>
      <c r="T180" s="6">
        <v>824</v>
      </c>
      <c r="U180" s="6">
        <f t="shared" si="9"/>
        <v>1474</v>
      </c>
    </row>
    <row r="181" spans="1:21" s="7" customFormat="1" ht="42" hidden="1" customHeight="1" outlineLevel="2" collapsed="1" x14ac:dyDescent="0.2">
      <c r="A181" s="33"/>
      <c r="B181" s="32"/>
      <c r="C181" s="153" t="s">
        <v>148</v>
      </c>
      <c r="D181" s="102" t="s">
        <v>73</v>
      </c>
      <c r="E181" s="32"/>
      <c r="F181" s="79" t="s">
        <v>11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5">
        <v>0</v>
      </c>
      <c r="M181" s="65">
        <v>0</v>
      </c>
      <c r="N181" s="6">
        <f t="shared" si="8"/>
        <v>0</v>
      </c>
      <c r="O181" s="66">
        <v>0</v>
      </c>
      <c r="P181" s="66">
        <v>0</v>
      </c>
      <c r="Q181" s="66">
        <v>0</v>
      </c>
      <c r="R181" s="65">
        <v>0</v>
      </c>
      <c r="S181" s="6">
        <f>667-667</f>
        <v>0</v>
      </c>
      <c r="T181" s="66">
        <v>0</v>
      </c>
      <c r="U181" s="6">
        <f t="shared" si="9"/>
        <v>0</v>
      </c>
    </row>
    <row r="182" spans="1:21" s="7" customFormat="1" ht="40.5" hidden="1" customHeight="1" outlineLevel="2" x14ac:dyDescent="0.2">
      <c r="A182" s="33"/>
      <c r="B182" s="32"/>
      <c r="C182" s="153" t="s">
        <v>149</v>
      </c>
      <c r="D182" s="102" t="s">
        <v>73</v>
      </c>
      <c r="E182" s="32"/>
      <c r="F182" s="79" t="s">
        <v>11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5">
        <v>0</v>
      </c>
      <c r="M182" s="65">
        <v>0</v>
      </c>
      <c r="N182" s="6">
        <f t="shared" si="8"/>
        <v>0</v>
      </c>
      <c r="O182" s="66">
        <v>0</v>
      </c>
      <c r="P182" s="66">
        <v>0</v>
      </c>
      <c r="Q182" s="66">
        <v>0</v>
      </c>
      <c r="R182" s="65">
        <v>0</v>
      </c>
      <c r="S182" s="6">
        <f>120-120</f>
        <v>0</v>
      </c>
      <c r="T182" s="66">
        <v>0</v>
      </c>
      <c r="U182" s="6">
        <f t="shared" si="9"/>
        <v>0</v>
      </c>
    </row>
    <row r="183" spans="1:21" s="7" customFormat="1" ht="41.25" hidden="1" customHeight="1" outlineLevel="2" x14ac:dyDescent="0.2">
      <c r="A183" s="33"/>
      <c r="B183" s="32"/>
      <c r="C183" s="154" t="s">
        <v>231</v>
      </c>
      <c r="D183" s="102" t="s">
        <v>73</v>
      </c>
      <c r="E183" s="32"/>
      <c r="F183" s="79" t="s">
        <v>11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5">
        <v>0</v>
      </c>
      <c r="M183" s="65">
        <v>0</v>
      </c>
      <c r="N183" s="6">
        <f t="shared" si="8"/>
        <v>0</v>
      </c>
      <c r="O183" s="66">
        <v>0</v>
      </c>
      <c r="P183" s="66">
        <v>0</v>
      </c>
      <c r="Q183" s="65">
        <v>0</v>
      </c>
      <c r="R183" s="6">
        <f>160-160</f>
        <v>0</v>
      </c>
      <c r="S183" s="66">
        <v>0</v>
      </c>
      <c r="T183" s="6">
        <v>179</v>
      </c>
      <c r="U183" s="6">
        <f t="shared" si="9"/>
        <v>179</v>
      </c>
    </row>
    <row r="184" spans="1:21" s="7" customFormat="1" ht="39" hidden="1" customHeight="1" outlineLevel="2" x14ac:dyDescent="0.2">
      <c r="A184" s="33"/>
      <c r="B184" s="32"/>
      <c r="C184" s="155" t="s">
        <v>150</v>
      </c>
      <c r="D184" s="103" t="s">
        <v>73</v>
      </c>
      <c r="E184" s="32"/>
      <c r="F184" s="79" t="s">
        <v>11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5">
        <v>0</v>
      </c>
      <c r="M184" s="65">
        <v>0</v>
      </c>
      <c r="N184" s="6">
        <f t="shared" si="8"/>
        <v>0</v>
      </c>
      <c r="O184" s="66">
        <v>0</v>
      </c>
      <c r="P184" s="66">
        <v>0</v>
      </c>
      <c r="Q184" s="65">
        <v>0</v>
      </c>
      <c r="R184" s="6">
        <f>120-120</f>
        <v>0</v>
      </c>
      <c r="S184" s="66">
        <v>0</v>
      </c>
      <c r="T184" s="65">
        <v>0</v>
      </c>
      <c r="U184" s="6">
        <f t="shared" si="9"/>
        <v>0</v>
      </c>
    </row>
    <row r="185" spans="1:21" s="7" customFormat="1" ht="45" hidden="1" customHeight="1" outlineLevel="2" x14ac:dyDescent="0.2">
      <c r="A185" s="33"/>
      <c r="B185" s="32"/>
      <c r="C185" s="153" t="s">
        <v>151</v>
      </c>
      <c r="D185" s="102" t="s">
        <v>73</v>
      </c>
      <c r="E185" s="32"/>
      <c r="F185" s="79" t="s">
        <v>11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5">
        <v>0</v>
      </c>
      <c r="M185" s="65">
        <v>0</v>
      </c>
      <c r="N185" s="6">
        <f t="shared" si="8"/>
        <v>0</v>
      </c>
      <c r="O185" s="66">
        <v>0</v>
      </c>
      <c r="P185" s="66">
        <v>0</v>
      </c>
      <c r="Q185" s="66">
        <v>0</v>
      </c>
      <c r="R185" s="65">
        <v>0</v>
      </c>
      <c r="S185" s="6">
        <f>154-154</f>
        <v>0</v>
      </c>
      <c r="T185" s="66">
        <v>0</v>
      </c>
      <c r="U185" s="6">
        <f t="shared" si="9"/>
        <v>0</v>
      </c>
    </row>
    <row r="186" spans="1:21" s="7" customFormat="1" ht="42.75" hidden="1" customHeight="1" outlineLevel="2" x14ac:dyDescent="0.2">
      <c r="A186" s="33"/>
      <c r="B186" s="32"/>
      <c r="C186" s="153" t="s">
        <v>230</v>
      </c>
      <c r="D186" s="102" t="s">
        <v>73</v>
      </c>
      <c r="E186" s="32"/>
      <c r="F186" s="79" t="s">
        <v>11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5">
        <v>0</v>
      </c>
      <c r="M186" s="65">
        <v>0</v>
      </c>
      <c r="N186" s="6">
        <f t="shared" si="8"/>
        <v>0</v>
      </c>
      <c r="O186" s="66">
        <v>0</v>
      </c>
      <c r="P186" s="66">
        <v>0</v>
      </c>
      <c r="Q186" s="66">
        <v>0</v>
      </c>
      <c r="R186" s="65">
        <v>0</v>
      </c>
      <c r="S186" s="6">
        <f>1343-1343</f>
        <v>0</v>
      </c>
      <c r="T186" s="66">
        <v>0</v>
      </c>
      <c r="U186" s="6">
        <f t="shared" si="9"/>
        <v>0</v>
      </c>
    </row>
    <row r="187" spans="1:21" s="7" customFormat="1" ht="39" hidden="1" customHeight="1" outlineLevel="2" x14ac:dyDescent="0.2">
      <c r="A187" s="33"/>
      <c r="B187" s="32"/>
      <c r="C187" s="153" t="s">
        <v>233</v>
      </c>
      <c r="D187" s="102" t="s">
        <v>73</v>
      </c>
      <c r="E187" s="32"/>
      <c r="F187" s="79" t="s">
        <v>11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5">
        <v>0</v>
      </c>
      <c r="M187" s="65">
        <v>0</v>
      </c>
      <c r="N187" s="6">
        <f t="shared" si="8"/>
        <v>0</v>
      </c>
      <c r="O187" s="66">
        <v>0</v>
      </c>
      <c r="P187" s="66">
        <v>0</v>
      </c>
      <c r="Q187" s="66">
        <v>0</v>
      </c>
      <c r="R187" s="65">
        <v>0</v>
      </c>
      <c r="S187" s="6">
        <f>150-150</f>
        <v>0</v>
      </c>
      <c r="T187" s="66">
        <v>0</v>
      </c>
      <c r="U187" s="6">
        <f t="shared" si="9"/>
        <v>0</v>
      </c>
    </row>
    <row r="188" spans="1:21" s="7" customFormat="1" ht="43.5" hidden="1" customHeight="1" outlineLevel="3" x14ac:dyDescent="0.2">
      <c r="A188" s="33"/>
      <c r="B188" s="32"/>
      <c r="C188" s="153" t="s">
        <v>234</v>
      </c>
      <c r="D188" s="102" t="s">
        <v>73</v>
      </c>
      <c r="E188" s="32"/>
      <c r="F188" s="79" t="s">
        <v>11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5">
        <v>0</v>
      </c>
      <c r="M188" s="65">
        <v>0</v>
      </c>
      <c r="N188" s="6">
        <f t="shared" si="8"/>
        <v>0</v>
      </c>
      <c r="O188" s="66">
        <v>0</v>
      </c>
      <c r="P188" s="66">
        <v>0</v>
      </c>
      <c r="Q188" s="66">
        <v>0</v>
      </c>
      <c r="R188" s="65">
        <v>0</v>
      </c>
      <c r="S188" s="66">
        <v>0</v>
      </c>
      <c r="T188" s="6">
        <v>190</v>
      </c>
      <c r="U188" s="6">
        <f t="shared" si="9"/>
        <v>190</v>
      </c>
    </row>
    <row r="189" spans="1:21" s="7" customFormat="1" ht="39.75" hidden="1" customHeight="1" outlineLevel="2" collapsed="1" x14ac:dyDescent="0.2">
      <c r="A189" s="33"/>
      <c r="B189" s="32"/>
      <c r="C189" s="153" t="s">
        <v>274</v>
      </c>
      <c r="D189" s="102" t="s">
        <v>73</v>
      </c>
      <c r="E189" s="32"/>
      <c r="F189" s="79" t="s">
        <v>11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5">
        <v>0</v>
      </c>
      <c r="M189" s="65">
        <v>0</v>
      </c>
      <c r="N189" s="6">
        <f t="shared" si="8"/>
        <v>0</v>
      </c>
      <c r="O189" s="66">
        <v>0</v>
      </c>
      <c r="P189" s="66">
        <v>0</v>
      </c>
      <c r="Q189" s="66">
        <v>0</v>
      </c>
      <c r="R189" s="65">
        <v>0</v>
      </c>
      <c r="S189" s="6">
        <f>134-134</f>
        <v>0</v>
      </c>
      <c r="T189" s="66">
        <v>0</v>
      </c>
      <c r="U189" s="6">
        <f t="shared" si="9"/>
        <v>0</v>
      </c>
    </row>
    <row r="190" spans="1:21" s="7" customFormat="1" ht="37.5" hidden="1" customHeight="1" outlineLevel="2" x14ac:dyDescent="0.2">
      <c r="A190" s="33"/>
      <c r="B190" s="32"/>
      <c r="C190" s="153" t="s">
        <v>235</v>
      </c>
      <c r="D190" s="102" t="s">
        <v>73</v>
      </c>
      <c r="E190" s="32"/>
      <c r="F190" s="79" t="s">
        <v>11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5">
        <v>0</v>
      </c>
      <c r="M190" s="65">
        <v>0</v>
      </c>
      <c r="N190" s="6">
        <f t="shared" si="8"/>
        <v>0</v>
      </c>
      <c r="O190" s="66">
        <v>0</v>
      </c>
      <c r="P190" s="66">
        <v>0</v>
      </c>
      <c r="Q190" s="66">
        <v>0</v>
      </c>
      <c r="R190" s="65">
        <v>0</v>
      </c>
      <c r="S190" s="6">
        <f>196-196</f>
        <v>0</v>
      </c>
      <c r="T190" s="66">
        <v>0</v>
      </c>
      <c r="U190" s="6">
        <f t="shared" si="9"/>
        <v>0</v>
      </c>
    </row>
    <row r="191" spans="1:21" s="91" customFormat="1" ht="40.5" hidden="1" customHeight="1" outlineLevel="2" x14ac:dyDescent="0.2">
      <c r="A191" s="33"/>
      <c r="B191" s="32"/>
      <c r="C191" s="153" t="s">
        <v>152</v>
      </c>
      <c r="D191" s="102" t="s">
        <v>73</v>
      </c>
      <c r="E191" s="32"/>
      <c r="F191" s="79" t="s">
        <v>11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5">
        <v>0</v>
      </c>
      <c r="M191" s="65">
        <v>0</v>
      </c>
      <c r="N191" s="6">
        <f t="shared" si="8"/>
        <v>0</v>
      </c>
      <c r="O191" s="66">
        <v>0</v>
      </c>
      <c r="P191" s="66">
        <v>0</v>
      </c>
      <c r="Q191" s="66">
        <v>0</v>
      </c>
      <c r="R191" s="65">
        <v>0</v>
      </c>
      <c r="S191" s="6">
        <f>5600-5600</f>
        <v>0</v>
      </c>
      <c r="T191" s="66">
        <v>0</v>
      </c>
      <c r="U191" s="6">
        <f t="shared" si="9"/>
        <v>0</v>
      </c>
    </row>
    <row r="192" spans="1:21" s="91" customFormat="1" ht="40.5" hidden="1" customHeight="1" outlineLevel="2" x14ac:dyDescent="0.2">
      <c r="A192" s="31"/>
      <c r="B192" s="32"/>
      <c r="C192" s="154" t="s">
        <v>280</v>
      </c>
      <c r="D192" s="102" t="s">
        <v>73</v>
      </c>
      <c r="E192" s="32"/>
      <c r="F192" s="79" t="s">
        <v>11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5">
        <v>0</v>
      </c>
      <c r="M192" s="65">
        <v>0</v>
      </c>
      <c r="N192" s="6">
        <f t="shared" si="8"/>
        <v>0</v>
      </c>
      <c r="O192" s="66">
        <v>0</v>
      </c>
      <c r="P192" s="66">
        <v>0</v>
      </c>
      <c r="Q192" s="66">
        <v>0</v>
      </c>
      <c r="R192" s="65">
        <v>0</v>
      </c>
      <c r="S192" s="6">
        <f>3358-3358</f>
        <v>0</v>
      </c>
      <c r="T192" s="66">
        <v>0</v>
      </c>
      <c r="U192" s="6">
        <f t="shared" si="9"/>
        <v>0</v>
      </c>
    </row>
    <row r="193" spans="1:21" s="7" customFormat="1" ht="44.25" hidden="1" customHeight="1" outlineLevel="3" x14ac:dyDescent="0.2">
      <c r="A193" s="33"/>
      <c r="B193" s="32"/>
      <c r="C193" s="116" t="s">
        <v>153</v>
      </c>
      <c r="D193" s="103" t="s">
        <v>73</v>
      </c>
      <c r="E193" s="32"/>
      <c r="F193" s="193" t="s">
        <v>11</v>
      </c>
      <c r="G193" s="194">
        <v>0</v>
      </c>
      <c r="H193" s="194">
        <v>0</v>
      </c>
      <c r="I193" s="194">
        <v>0</v>
      </c>
      <c r="J193" s="194">
        <v>0</v>
      </c>
      <c r="K193" s="194">
        <v>0</v>
      </c>
      <c r="L193" s="195">
        <v>0</v>
      </c>
      <c r="M193" s="195">
        <v>0</v>
      </c>
      <c r="N193" s="22">
        <f t="shared" si="8"/>
        <v>0</v>
      </c>
      <c r="O193" s="194">
        <v>0</v>
      </c>
      <c r="P193" s="194">
        <v>0</v>
      </c>
      <c r="Q193" s="194">
        <v>0</v>
      </c>
      <c r="R193" s="195">
        <v>0</v>
      </c>
      <c r="S193" s="195">
        <v>0</v>
      </c>
      <c r="T193" s="22">
        <v>300</v>
      </c>
      <c r="U193" s="22">
        <f t="shared" si="9"/>
        <v>300</v>
      </c>
    </row>
    <row r="194" spans="1:21" s="7" customFormat="1" ht="71.25" hidden="1" customHeight="1" outlineLevel="3" x14ac:dyDescent="0.2">
      <c r="A194" s="33"/>
      <c r="B194" s="32"/>
      <c r="C194" s="117" t="s">
        <v>232</v>
      </c>
      <c r="D194" s="102" t="s">
        <v>73</v>
      </c>
      <c r="E194" s="32"/>
      <c r="F194" s="79" t="s">
        <v>11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5">
        <v>0</v>
      </c>
      <c r="M194" s="65">
        <v>0</v>
      </c>
      <c r="N194" s="6">
        <f t="shared" si="8"/>
        <v>0</v>
      </c>
      <c r="O194" s="66">
        <v>0</v>
      </c>
      <c r="P194" s="6">
        <v>800</v>
      </c>
      <c r="Q194" s="66">
        <v>0</v>
      </c>
      <c r="R194" s="65">
        <v>0</v>
      </c>
      <c r="S194" s="65">
        <v>0</v>
      </c>
      <c r="T194" s="66">
        <v>0</v>
      </c>
      <c r="U194" s="6">
        <f t="shared" si="9"/>
        <v>800</v>
      </c>
    </row>
    <row r="195" spans="1:21" s="7" customFormat="1" ht="69" hidden="1" customHeight="1" outlineLevel="2" collapsed="1" x14ac:dyDescent="0.2">
      <c r="A195" s="31"/>
      <c r="B195" s="32"/>
      <c r="C195" s="117" t="s">
        <v>281</v>
      </c>
      <c r="D195" s="102" t="s">
        <v>73</v>
      </c>
      <c r="E195" s="32"/>
      <c r="F195" s="79" t="s">
        <v>11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5">
        <v>0</v>
      </c>
      <c r="M195" s="65">
        <v>0</v>
      </c>
      <c r="N195" s="6">
        <f t="shared" si="8"/>
        <v>0</v>
      </c>
      <c r="O195" s="66">
        <v>0</v>
      </c>
      <c r="P195" s="66">
        <v>0</v>
      </c>
      <c r="Q195" s="6">
        <f>25000-25000</f>
        <v>0</v>
      </c>
      <c r="R195" s="65">
        <v>0</v>
      </c>
      <c r="S195" s="65">
        <v>0</v>
      </c>
      <c r="T195" s="66">
        <v>0</v>
      </c>
      <c r="U195" s="6">
        <f t="shared" si="9"/>
        <v>0</v>
      </c>
    </row>
    <row r="196" spans="1:21" s="7" customFormat="1" ht="3.75" hidden="1" customHeight="1" outlineLevel="3" x14ac:dyDescent="0.2">
      <c r="A196" s="33"/>
      <c r="B196" s="32"/>
      <c r="C196" s="115" t="s">
        <v>245</v>
      </c>
      <c r="D196" s="157" t="s">
        <v>73</v>
      </c>
      <c r="E196" s="32"/>
      <c r="F196" s="223" t="s">
        <v>11</v>
      </c>
      <c r="G196" s="224">
        <v>0</v>
      </c>
      <c r="H196" s="224">
        <v>0</v>
      </c>
      <c r="I196" s="224">
        <v>0</v>
      </c>
      <c r="J196" s="224">
        <v>0</v>
      </c>
      <c r="K196" s="224">
        <v>0</v>
      </c>
      <c r="L196" s="225">
        <v>0</v>
      </c>
      <c r="M196" s="225">
        <v>0</v>
      </c>
      <c r="N196" s="222">
        <f t="shared" si="8"/>
        <v>0</v>
      </c>
      <c r="O196" s="224">
        <v>0</v>
      </c>
      <c r="P196" s="222">
        <v>2663.3</v>
      </c>
      <c r="Q196" s="224">
        <v>0</v>
      </c>
      <c r="R196" s="225">
        <v>0</v>
      </c>
      <c r="S196" s="225">
        <v>0</v>
      </c>
      <c r="T196" s="224">
        <v>0</v>
      </c>
      <c r="U196" s="222">
        <f t="shared" si="9"/>
        <v>2663.3</v>
      </c>
    </row>
    <row r="197" spans="1:21" s="7" customFormat="1" ht="57" hidden="1" customHeight="1" outlineLevel="2" collapsed="1" x14ac:dyDescent="0.2">
      <c r="A197" s="31"/>
      <c r="B197" s="32"/>
      <c r="C197" s="117" t="s">
        <v>275</v>
      </c>
      <c r="D197" s="102" t="s">
        <v>73</v>
      </c>
      <c r="E197" s="32"/>
      <c r="F197" s="79" t="s">
        <v>11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5">
        <v>0</v>
      </c>
      <c r="M197" s="65">
        <v>0</v>
      </c>
      <c r="N197" s="6">
        <f t="shared" si="8"/>
        <v>0</v>
      </c>
      <c r="O197" s="66">
        <v>0</v>
      </c>
      <c r="P197" s="66">
        <v>0</v>
      </c>
      <c r="Q197" s="6">
        <f>250000-250000</f>
        <v>0</v>
      </c>
      <c r="R197" s="65">
        <v>0</v>
      </c>
      <c r="S197" s="65">
        <v>0</v>
      </c>
      <c r="T197" s="66">
        <v>0</v>
      </c>
      <c r="U197" s="6">
        <f t="shared" si="9"/>
        <v>0</v>
      </c>
    </row>
    <row r="198" spans="1:21" s="7" customFormat="1" ht="43.5" hidden="1" customHeight="1" outlineLevel="3" x14ac:dyDescent="0.2">
      <c r="A198" s="76"/>
      <c r="B198" s="77"/>
      <c r="C198" s="30" t="s">
        <v>244</v>
      </c>
      <c r="D198" s="102" t="s">
        <v>73</v>
      </c>
      <c r="E198" s="77"/>
      <c r="F198" s="79" t="s">
        <v>11</v>
      </c>
      <c r="G198" s="66">
        <v>0</v>
      </c>
      <c r="H198" s="66">
        <v>0</v>
      </c>
      <c r="I198" s="66">
        <v>0</v>
      </c>
      <c r="J198" s="66">
        <v>0</v>
      </c>
      <c r="K198" s="66">
        <v>0</v>
      </c>
      <c r="L198" s="65">
        <v>0</v>
      </c>
      <c r="M198" s="65">
        <v>0</v>
      </c>
      <c r="N198" s="6">
        <f t="shared" si="8"/>
        <v>0</v>
      </c>
      <c r="O198" s="66">
        <v>0</v>
      </c>
      <c r="P198" s="6">
        <v>100</v>
      </c>
      <c r="Q198" s="66">
        <v>0</v>
      </c>
      <c r="R198" s="65">
        <v>0</v>
      </c>
      <c r="S198" s="65">
        <v>0</v>
      </c>
      <c r="T198" s="66">
        <v>0</v>
      </c>
      <c r="U198" s="6">
        <f t="shared" si="9"/>
        <v>100</v>
      </c>
    </row>
    <row r="199" spans="1:21" s="7" customFormat="1" ht="42.75" hidden="1" customHeight="1" outlineLevel="3" x14ac:dyDescent="0.2">
      <c r="A199" s="33"/>
      <c r="B199" s="32"/>
      <c r="C199" s="116" t="s">
        <v>154</v>
      </c>
      <c r="D199" s="103" t="s">
        <v>73</v>
      </c>
      <c r="E199" s="32"/>
      <c r="F199" s="79" t="s">
        <v>11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5">
        <v>0</v>
      </c>
      <c r="M199" s="65">
        <v>0</v>
      </c>
      <c r="N199" s="6">
        <f t="shared" si="8"/>
        <v>0</v>
      </c>
      <c r="O199" s="66">
        <v>0</v>
      </c>
      <c r="P199" s="6">
        <v>1950.5</v>
      </c>
      <c r="Q199" s="66">
        <v>0</v>
      </c>
      <c r="R199" s="65">
        <v>0</v>
      </c>
      <c r="S199" s="65">
        <v>0</v>
      </c>
      <c r="T199" s="66">
        <v>0</v>
      </c>
      <c r="U199" s="6">
        <f t="shared" si="9"/>
        <v>1950.5</v>
      </c>
    </row>
    <row r="200" spans="1:21" s="7" customFormat="1" ht="68.25" hidden="1" customHeight="1" outlineLevel="2" collapsed="1" x14ac:dyDescent="0.2">
      <c r="A200" s="78"/>
      <c r="B200" s="77"/>
      <c r="C200" s="117" t="s">
        <v>261</v>
      </c>
      <c r="D200" s="102" t="s">
        <v>73</v>
      </c>
      <c r="E200" s="77"/>
      <c r="F200" s="79" t="s">
        <v>11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5">
        <v>0</v>
      </c>
      <c r="M200" s="65">
        <v>0</v>
      </c>
      <c r="N200" s="6">
        <f t="shared" si="8"/>
        <v>0</v>
      </c>
      <c r="O200" s="66">
        <v>0</v>
      </c>
      <c r="P200" s="6">
        <v>0</v>
      </c>
      <c r="Q200" s="66">
        <f>120-120</f>
        <v>0</v>
      </c>
      <c r="R200" s="65">
        <v>0</v>
      </c>
      <c r="S200" s="65">
        <v>0</v>
      </c>
      <c r="T200" s="66">
        <v>0</v>
      </c>
      <c r="U200" s="6">
        <f t="shared" si="9"/>
        <v>0</v>
      </c>
    </row>
    <row r="201" spans="1:21" s="7" customFormat="1" ht="67.5" hidden="1" customHeight="1" outlineLevel="2" x14ac:dyDescent="0.2">
      <c r="A201" s="33"/>
      <c r="B201" s="32"/>
      <c r="C201" s="117" t="s">
        <v>203</v>
      </c>
      <c r="D201" s="102" t="s">
        <v>73</v>
      </c>
      <c r="E201" s="32"/>
      <c r="F201" s="79" t="s">
        <v>11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5">
        <v>0</v>
      </c>
      <c r="M201" s="65">
        <v>0</v>
      </c>
      <c r="N201" s="6">
        <f t="shared" si="8"/>
        <v>0</v>
      </c>
      <c r="O201" s="66">
        <v>0</v>
      </c>
      <c r="P201" s="6">
        <v>0</v>
      </c>
      <c r="Q201" s="66">
        <f>2280-2280</f>
        <v>0</v>
      </c>
      <c r="R201" s="65">
        <v>0</v>
      </c>
      <c r="S201" s="65">
        <v>0</v>
      </c>
      <c r="T201" s="66">
        <v>0</v>
      </c>
      <c r="U201" s="6">
        <f t="shared" si="9"/>
        <v>0</v>
      </c>
    </row>
    <row r="202" spans="1:21" s="7" customFormat="1" ht="77.25" hidden="1" customHeight="1" outlineLevel="2" x14ac:dyDescent="0.2">
      <c r="A202" s="33"/>
      <c r="B202" s="32"/>
      <c r="C202" s="117" t="s">
        <v>247</v>
      </c>
      <c r="D202" s="102" t="s">
        <v>73</v>
      </c>
      <c r="E202" s="32"/>
      <c r="F202" s="79" t="s">
        <v>11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5">
        <v>0</v>
      </c>
      <c r="M202" s="65">
        <v>0</v>
      </c>
      <c r="N202" s="6">
        <f t="shared" si="8"/>
        <v>0</v>
      </c>
      <c r="O202" s="66">
        <v>0</v>
      </c>
      <c r="P202" s="6">
        <v>0</v>
      </c>
      <c r="Q202" s="66">
        <f>120-120</f>
        <v>0</v>
      </c>
      <c r="R202" s="65">
        <v>0</v>
      </c>
      <c r="S202" s="65">
        <v>0</v>
      </c>
      <c r="T202" s="66">
        <v>0</v>
      </c>
      <c r="U202" s="6">
        <f t="shared" si="9"/>
        <v>0</v>
      </c>
    </row>
    <row r="203" spans="1:21" s="7" customFormat="1" ht="72.75" hidden="1" customHeight="1" outlineLevel="2" x14ac:dyDescent="0.2">
      <c r="A203" s="33"/>
      <c r="B203" s="32"/>
      <c r="C203" s="117" t="s">
        <v>214</v>
      </c>
      <c r="D203" s="102" t="s">
        <v>73</v>
      </c>
      <c r="E203" s="32"/>
      <c r="F203" s="79" t="s">
        <v>11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5">
        <v>0</v>
      </c>
      <c r="M203" s="65">
        <v>0</v>
      </c>
      <c r="N203" s="6">
        <f t="shared" si="8"/>
        <v>0</v>
      </c>
      <c r="O203" s="66">
        <v>0</v>
      </c>
      <c r="P203" s="6">
        <v>0</v>
      </c>
      <c r="Q203" s="66">
        <f>2380-2380</f>
        <v>0</v>
      </c>
      <c r="R203" s="65">
        <v>0</v>
      </c>
      <c r="S203" s="65">
        <v>0</v>
      </c>
      <c r="T203" s="66">
        <v>0</v>
      </c>
      <c r="U203" s="6">
        <f t="shared" si="9"/>
        <v>0</v>
      </c>
    </row>
    <row r="204" spans="1:21" s="7" customFormat="1" ht="56.25" hidden="1" customHeight="1" outlineLevel="2" x14ac:dyDescent="0.2">
      <c r="A204" s="33"/>
      <c r="B204" s="32"/>
      <c r="C204" s="117" t="s">
        <v>240</v>
      </c>
      <c r="D204" s="102" t="s">
        <v>73</v>
      </c>
      <c r="E204" s="32"/>
      <c r="F204" s="79" t="s">
        <v>11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5">
        <v>0</v>
      </c>
      <c r="M204" s="65">
        <v>0</v>
      </c>
      <c r="N204" s="6">
        <f t="shared" si="8"/>
        <v>0</v>
      </c>
      <c r="O204" s="66">
        <v>0</v>
      </c>
      <c r="P204" s="65">
        <v>0</v>
      </c>
      <c r="Q204" s="66">
        <v>0</v>
      </c>
      <c r="R204" s="65">
        <f>370-370</f>
        <v>0</v>
      </c>
      <c r="S204" s="65">
        <v>0</v>
      </c>
      <c r="T204" s="66">
        <v>0</v>
      </c>
      <c r="U204" s="6">
        <f t="shared" si="9"/>
        <v>0</v>
      </c>
    </row>
    <row r="205" spans="1:21" s="7" customFormat="1" ht="71.25" hidden="1" customHeight="1" outlineLevel="2" x14ac:dyDescent="0.2">
      <c r="A205" s="33"/>
      <c r="B205" s="32"/>
      <c r="C205" s="30" t="s">
        <v>246</v>
      </c>
      <c r="D205" s="102" t="s">
        <v>73</v>
      </c>
      <c r="E205" s="32"/>
      <c r="F205" s="79" t="s">
        <v>11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5">
        <v>0</v>
      </c>
      <c r="M205" s="65">
        <v>0</v>
      </c>
      <c r="N205" s="6">
        <f t="shared" si="8"/>
        <v>0</v>
      </c>
      <c r="O205" s="66">
        <v>0</v>
      </c>
      <c r="P205" s="65">
        <v>0</v>
      </c>
      <c r="Q205" s="66">
        <v>0</v>
      </c>
      <c r="R205" s="6">
        <f>10622.3-10622.3</f>
        <v>0</v>
      </c>
      <c r="S205" s="65">
        <v>0</v>
      </c>
      <c r="T205" s="66">
        <v>0</v>
      </c>
      <c r="U205" s="6">
        <f t="shared" si="9"/>
        <v>0</v>
      </c>
    </row>
    <row r="206" spans="1:21" s="7" customFormat="1" ht="61.5" hidden="1" customHeight="1" outlineLevel="2" x14ac:dyDescent="0.2">
      <c r="A206" s="33"/>
      <c r="B206" s="32"/>
      <c r="C206" s="116" t="s">
        <v>236</v>
      </c>
      <c r="D206" s="103" t="s">
        <v>73</v>
      </c>
      <c r="E206" s="32"/>
      <c r="F206" s="79" t="s">
        <v>11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5">
        <v>0</v>
      </c>
      <c r="M206" s="65">
        <v>0</v>
      </c>
      <c r="N206" s="6">
        <f t="shared" ref="N206:N244" si="10">G206+H206+I206+J206+K206+L206+M206</f>
        <v>0</v>
      </c>
      <c r="O206" s="66">
        <v>0</v>
      </c>
      <c r="P206" s="65">
        <v>0</v>
      </c>
      <c r="Q206" s="66">
        <v>0</v>
      </c>
      <c r="R206" s="65">
        <v>0</v>
      </c>
      <c r="S206" s="65">
        <f>265-265</f>
        <v>0</v>
      </c>
      <c r="T206" s="66">
        <v>0</v>
      </c>
      <c r="U206" s="6">
        <f t="shared" si="9"/>
        <v>0</v>
      </c>
    </row>
    <row r="207" spans="1:21" s="7" customFormat="1" ht="55.5" hidden="1" customHeight="1" outlineLevel="3" x14ac:dyDescent="0.2">
      <c r="A207" s="33"/>
      <c r="B207" s="32"/>
      <c r="C207" s="117" t="s">
        <v>237</v>
      </c>
      <c r="D207" s="102" t="s">
        <v>73</v>
      </c>
      <c r="E207" s="32"/>
      <c r="F207" s="79" t="s">
        <v>11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5">
        <v>0</v>
      </c>
      <c r="M207" s="65">
        <v>0</v>
      </c>
      <c r="N207" s="6">
        <f t="shared" si="10"/>
        <v>0</v>
      </c>
      <c r="O207" s="66">
        <v>0</v>
      </c>
      <c r="P207" s="65">
        <v>0</v>
      </c>
      <c r="Q207" s="66">
        <v>0</v>
      </c>
      <c r="R207" s="65">
        <v>0</v>
      </c>
      <c r="S207" s="65">
        <v>0</v>
      </c>
      <c r="T207" s="65">
        <v>770</v>
      </c>
      <c r="U207" s="6">
        <f t="shared" si="9"/>
        <v>770</v>
      </c>
    </row>
    <row r="208" spans="1:21" s="7" customFormat="1" ht="44.25" hidden="1" customHeight="1" outlineLevel="2" collapsed="1" x14ac:dyDescent="0.2">
      <c r="A208" s="33"/>
      <c r="B208" s="32"/>
      <c r="C208" s="117" t="s">
        <v>238</v>
      </c>
      <c r="D208" s="102" t="s">
        <v>73</v>
      </c>
      <c r="E208" s="32"/>
      <c r="F208" s="79" t="s">
        <v>11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5">
        <v>0</v>
      </c>
      <c r="M208" s="65">
        <v>0</v>
      </c>
      <c r="N208" s="6">
        <f t="shared" si="10"/>
        <v>0</v>
      </c>
      <c r="O208" s="66">
        <v>0</v>
      </c>
      <c r="P208" s="65">
        <v>0</v>
      </c>
      <c r="Q208" s="66">
        <v>0</v>
      </c>
      <c r="R208" s="66">
        <v>0</v>
      </c>
      <c r="S208" s="6">
        <f>845-845</f>
        <v>0</v>
      </c>
      <c r="T208" s="66">
        <v>0</v>
      </c>
      <c r="U208" s="6">
        <f t="shared" si="9"/>
        <v>0</v>
      </c>
    </row>
    <row r="209" spans="1:21" s="7" customFormat="1" ht="41.25" hidden="1" customHeight="1" outlineLevel="2" x14ac:dyDescent="0.2">
      <c r="A209" s="33"/>
      <c r="B209" s="32"/>
      <c r="C209" s="117" t="s">
        <v>276</v>
      </c>
      <c r="D209" s="102" t="s">
        <v>73</v>
      </c>
      <c r="E209" s="32"/>
      <c r="F209" s="79" t="s">
        <v>11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5">
        <v>0</v>
      </c>
      <c r="M209" s="65">
        <v>0</v>
      </c>
      <c r="N209" s="6">
        <f t="shared" si="10"/>
        <v>0</v>
      </c>
      <c r="O209" s="66">
        <v>0</v>
      </c>
      <c r="P209" s="65">
        <v>0</v>
      </c>
      <c r="Q209" s="66">
        <v>0</v>
      </c>
      <c r="R209" s="66">
        <v>0</v>
      </c>
      <c r="S209" s="6">
        <f>1340-1340</f>
        <v>0</v>
      </c>
      <c r="T209" s="66">
        <v>0</v>
      </c>
      <c r="U209" s="6">
        <f t="shared" si="9"/>
        <v>0</v>
      </c>
    </row>
    <row r="210" spans="1:21" s="7" customFormat="1" ht="41.25" hidden="1" customHeight="1" outlineLevel="3" x14ac:dyDescent="0.2">
      <c r="A210" s="33"/>
      <c r="B210" s="32"/>
      <c r="C210" s="117" t="s">
        <v>204</v>
      </c>
      <c r="D210" s="102" t="s">
        <v>73</v>
      </c>
      <c r="E210" s="32"/>
      <c r="F210" s="79" t="s">
        <v>11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5">
        <v>0</v>
      </c>
      <c r="M210" s="65">
        <v>0</v>
      </c>
      <c r="N210" s="6">
        <f t="shared" si="10"/>
        <v>0</v>
      </c>
      <c r="O210" s="66">
        <v>0</v>
      </c>
      <c r="P210" s="65">
        <v>0</v>
      </c>
      <c r="Q210" s="66">
        <v>0</v>
      </c>
      <c r="R210" s="66">
        <v>0</v>
      </c>
      <c r="S210" s="66">
        <v>0</v>
      </c>
      <c r="T210" s="6">
        <v>890</v>
      </c>
      <c r="U210" s="6">
        <f t="shared" ref="U210:U217" si="11">SUM(G210:T210)-N210</f>
        <v>890</v>
      </c>
    </row>
    <row r="211" spans="1:21" s="7" customFormat="1" ht="46.5" hidden="1" customHeight="1" outlineLevel="3" x14ac:dyDescent="0.2">
      <c r="A211" s="33"/>
      <c r="B211" s="32"/>
      <c r="C211" s="117" t="s">
        <v>205</v>
      </c>
      <c r="D211" s="102" t="s">
        <v>73</v>
      </c>
      <c r="E211" s="32"/>
      <c r="F211" s="79" t="s">
        <v>11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5">
        <v>0</v>
      </c>
      <c r="M211" s="65">
        <v>0</v>
      </c>
      <c r="N211" s="6">
        <f t="shared" si="10"/>
        <v>0</v>
      </c>
      <c r="O211" s="66">
        <v>0</v>
      </c>
      <c r="P211" s="65">
        <v>0</v>
      </c>
      <c r="Q211" s="66">
        <v>0</v>
      </c>
      <c r="R211" s="66">
        <v>0</v>
      </c>
      <c r="S211" s="66">
        <v>0</v>
      </c>
      <c r="T211" s="6">
        <v>2460</v>
      </c>
      <c r="U211" s="6">
        <f t="shared" si="11"/>
        <v>2460</v>
      </c>
    </row>
    <row r="212" spans="1:21" s="7" customFormat="1" ht="67.5" hidden="1" customHeight="1" outlineLevel="2" collapsed="1" x14ac:dyDescent="0.2">
      <c r="A212" s="33"/>
      <c r="B212" s="32"/>
      <c r="C212" s="117" t="s">
        <v>277</v>
      </c>
      <c r="D212" s="102" t="s">
        <v>73</v>
      </c>
      <c r="E212" s="32"/>
      <c r="F212" s="79" t="s">
        <v>11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5">
        <v>0</v>
      </c>
      <c r="M212" s="65">
        <v>0</v>
      </c>
      <c r="N212" s="6">
        <f t="shared" si="10"/>
        <v>0</v>
      </c>
      <c r="O212" s="66">
        <v>0</v>
      </c>
      <c r="P212" s="65">
        <v>0</v>
      </c>
      <c r="Q212" s="66">
        <v>0</v>
      </c>
      <c r="R212" s="6">
        <f>930-930</f>
        <v>0</v>
      </c>
      <c r="S212" s="65">
        <v>0</v>
      </c>
      <c r="T212" s="66">
        <v>0</v>
      </c>
      <c r="U212" s="6">
        <f t="shared" si="11"/>
        <v>0</v>
      </c>
    </row>
    <row r="213" spans="1:21" s="7" customFormat="1" ht="65.25" hidden="1" customHeight="1" outlineLevel="2" x14ac:dyDescent="0.2">
      <c r="A213" s="33"/>
      <c r="B213" s="32"/>
      <c r="C213" s="117" t="s">
        <v>239</v>
      </c>
      <c r="D213" s="102" t="s">
        <v>73</v>
      </c>
      <c r="E213" s="32"/>
      <c r="F213" s="79" t="s">
        <v>11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5">
        <v>0</v>
      </c>
      <c r="M213" s="65">
        <v>0</v>
      </c>
      <c r="N213" s="6">
        <f t="shared" si="10"/>
        <v>0</v>
      </c>
      <c r="O213" s="66">
        <v>0</v>
      </c>
      <c r="P213" s="65">
        <v>0</v>
      </c>
      <c r="Q213" s="66">
        <v>0</v>
      </c>
      <c r="R213" s="66">
        <v>0</v>
      </c>
      <c r="S213" s="6">
        <f>9500-9500</f>
        <v>0</v>
      </c>
      <c r="T213" s="66">
        <v>0</v>
      </c>
      <c r="U213" s="6">
        <f t="shared" si="11"/>
        <v>0</v>
      </c>
    </row>
    <row r="214" spans="1:21" s="7" customFormat="1" ht="69.75" hidden="1" customHeight="1" outlineLevel="2" x14ac:dyDescent="0.2">
      <c r="A214" s="31"/>
      <c r="B214" s="32"/>
      <c r="C214" s="30" t="s">
        <v>278</v>
      </c>
      <c r="D214" s="102" t="s">
        <v>73</v>
      </c>
      <c r="E214" s="32"/>
      <c r="F214" s="79" t="s">
        <v>11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5">
        <v>0</v>
      </c>
      <c r="M214" s="65">
        <v>0</v>
      </c>
      <c r="N214" s="6">
        <f t="shared" si="10"/>
        <v>0</v>
      </c>
      <c r="O214" s="66">
        <v>0</v>
      </c>
      <c r="P214" s="65">
        <v>0</v>
      </c>
      <c r="Q214" s="66">
        <v>0</v>
      </c>
      <c r="R214" s="66">
        <v>0</v>
      </c>
      <c r="S214" s="6">
        <f>980-980</f>
        <v>0</v>
      </c>
      <c r="T214" s="66">
        <v>0</v>
      </c>
      <c r="U214" s="6">
        <f t="shared" si="11"/>
        <v>0</v>
      </c>
    </row>
    <row r="215" spans="1:21" s="7" customFormat="1" ht="70.5" hidden="1" customHeight="1" outlineLevel="3" x14ac:dyDescent="0.2">
      <c r="A215" s="76"/>
      <c r="B215" s="77"/>
      <c r="C215" s="116" t="s">
        <v>206</v>
      </c>
      <c r="D215" s="103" t="s">
        <v>73</v>
      </c>
      <c r="E215" s="77"/>
      <c r="F215" s="79" t="s">
        <v>11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5">
        <v>0</v>
      </c>
      <c r="M215" s="65">
        <v>0</v>
      </c>
      <c r="N215" s="6">
        <f t="shared" si="10"/>
        <v>0</v>
      </c>
      <c r="O215" s="66">
        <v>0</v>
      </c>
      <c r="P215" s="65">
        <v>0</v>
      </c>
      <c r="Q215" s="66">
        <v>0</v>
      </c>
      <c r="R215" s="65">
        <v>0</v>
      </c>
      <c r="S215" s="66">
        <v>0</v>
      </c>
      <c r="T215" s="6">
        <v>10050</v>
      </c>
      <c r="U215" s="6">
        <f t="shared" si="11"/>
        <v>10050</v>
      </c>
    </row>
    <row r="216" spans="1:21" s="7" customFormat="1" ht="45.75" hidden="1" customHeight="1" outlineLevel="3" x14ac:dyDescent="0.2">
      <c r="A216" s="33"/>
      <c r="B216" s="32"/>
      <c r="C216" s="117" t="s">
        <v>155</v>
      </c>
      <c r="D216" s="102" t="s">
        <v>73</v>
      </c>
      <c r="E216" s="32"/>
      <c r="F216" s="79" t="s">
        <v>11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5">
        <v>0</v>
      </c>
      <c r="M216" s="65">
        <v>0</v>
      </c>
      <c r="N216" s="6">
        <f t="shared" si="10"/>
        <v>0</v>
      </c>
      <c r="O216" s="66">
        <v>0</v>
      </c>
      <c r="P216" s="6">
        <v>619</v>
      </c>
      <c r="Q216" s="66">
        <v>0</v>
      </c>
      <c r="R216" s="66">
        <v>0</v>
      </c>
      <c r="S216" s="65">
        <v>0</v>
      </c>
      <c r="T216" s="65">
        <v>0</v>
      </c>
      <c r="U216" s="6">
        <f t="shared" si="11"/>
        <v>619</v>
      </c>
    </row>
    <row r="217" spans="1:21" s="91" customFormat="1" ht="45.75" hidden="1" customHeight="1" outlineLevel="2" collapsed="1" x14ac:dyDescent="0.2">
      <c r="A217" s="76"/>
      <c r="B217" s="77"/>
      <c r="C217" s="117" t="s">
        <v>251</v>
      </c>
      <c r="D217" s="102" t="s">
        <v>250</v>
      </c>
      <c r="E217" s="77"/>
      <c r="F217" s="79" t="s">
        <v>11</v>
      </c>
      <c r="G217" s="66"/>
      <c r="H217" s="66"/>
      <c r="I217" s="66"/>
      <c r="J217" s="66"/>
      <c r="K217" s="66"/>
      <c r="L217" s="65"/>
      <c r="M217" s="65"/>
      <c r="N217" s="6">
        <v>0</v>
      </c>
      <c r="O217" s="66">
        <v>0</v>
      </c>
      <c r="P217" s="6">
        <v>0</v>
      </c>
      <c r="Q217" s="66">
        <v>13300</v>
      </c>
      <c r="R217" s="66">
        <v>12700</v>
      </c>
      <c r="S217" s="65">
        <v>8958</v>
      </c>
      <c r="T217" s="65">
        <v>28017</v>
      </c>
      <c r="U217" s="6">
        <f t="shared" si="11"/>
        <v>62975</v>
      </c>
    </row>
    <row r="218" spans="1:21" ht="29.25" hidden="1" customHeight="1" outlineLevel="2" x14ac:dyDescent="0.2">
      <c r="A218" s="502" t="s">
        <v>75</v>
      </c>
      <c r="B218" s="504"/>
      <c r="C218" s="498"/>
      <c r="D218" s="499"/>
      <c r="E218" s="499"/>
      <c r="F218" s="86" t="s">
        <v>101</v>
      </c>
      <c r="G218" s="67">
        <f>SUM(G81:G170)</f>
        <v>138423.32</v>
      </c>
      <c r="H218" s="67">
        <f>SUM(H81:H170)</f>
        <v>204758.1</v>
      </c>
      <c r="I218" s="67">
        <f>SUM(I81:I170)</f>
        <v>220709</v>
      </c>
      <c r="J218" s="67">
        <f t="shared" ref="J218:L218" si="12">SUM(J81:J216)</f>
        <v>313192.90000000002</v>
      </c>
      <c r="K218" s="67">
        <f t="shared" si="12"/>
        <v>421613.6</v>
      </c>
      <c r="L218" s="67">
        <f t="shared" si="12"/>
        <v>1308589.8</v>
      </c>
      <c r="M218" s="67">
        <f>SUM(M81:M216)</f>
        <v>1406025</v>
      </c>
      <c r="N218" s="67">
        <f t="shared" ref="N218:U218" si="13">SUM(N81:N217)</f>
        <v>4013311.72</v>
      </c>
      <c r="O218" s="67">
        <f t="shared" si="13"/>
        <v>1203878.7</v>
      </c>
      <c r="P218" s="67">
        <f t="shared" si="13"/>
        <v>799633.3</v>
      </c>
      <c r="Q218" s="67">
        <f t="shared" si="13"/>
        <v>798128.13</v>
      </c>
      <c r="R218" s="67">
        <f t="shared" si="13"/>
        <v>818080.95000000007</v>
      </c>
      <c r="S218" s="67">
        <f t="shared" si="13"/>
        <v>836939.11</v>
      </c>
      <c r="T218" s="67">
        <f t="shared" si="13"/>
        <v>1102877.1948240912</v>
      </c>
      <c r="U218" s="67">
        <f t="shared" si="13"/>
        <v>9572849.1048240922</v>
      </c>
    </row>
    <row r="219" spans="1:21" ht="52.5" hidden="1" customHeight="1" outlineLevel="3" x14ac:dyDescent="0.2">
      <c r="A219" s="161">
        <v>3</v>
      </c>
      <c r="B219" s="438" t="s">
        <v>156</v>
      </c>
      <c r="C219" s="162" t="s">
        <v>157</v>
      </c>
      <c r="D219" s="163" t="s">
        <v>50</v>
      </c>
      <c r="E219" s="500" t="s">
        <v>158</v>
      </c>
      <c r="F219" s="47" t="s">
        <v>11</v>
      </c>
      <c r="G219" s="38">
        <v>0</v>
      </c>
      <c r="H219" s="38">
        <v>0</v>
      </c>
      <c r="I219" s="38">
        <v>0</v>
      </c>
      <c r="J219" s="38">
        <v>4059.9</v>
      </c>
      <c r="K219" s="38">
        <v>20246.5</v>
      </c>
      <c r="L219" s="38">
        <v>48490</v>
      </c>
      <c r="M219" s="38">
        <v>51250</v>
      </c>
      <c r="N219" s="6">
        <f t="shared" si="10"/>
        <v>124046.39999999999</v>
      </c>
      <c r="O219" s="38">
        <f>53650-10623.9</f>
        <v>43026.1</v>
      </c>
      <c r="P219" s="38">
        <v>0</v>
      </c>
      <c r="Q219" s="38">
        <v>0</v>
      </c>
      <c r="R219" s="38">
        <v>0</v>
      </c>
      <c r="S219" s="38">
        <v>0</v>
      </c>
      <c r="T219" s="38">
        <v>0</v>
      </c>
      <c r="U219" s="38">
        <f>SUM(G219:T219)-N219</f>
        <v>167072.49999999997</v>
      </c>
    </row>
    <row r="220" spans="1:21" ht="44.25" hidden="1" customHeight="1" outlineLevel="3" x14ac:dyDescent="0.2">
      <c r="A220" s="128"/>
      <c r="B220" s="439"/>
      <c r="C220" s="164" t="s">
        <v>159</v>
      </c>
      <c r="D220" s="165" t="s">
        <v>59</v>
      </c>
      <c r="E220" s="501"/>
      <c r="F220" s="71" t="s">
        <v>160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8"/>
      <c r="N220" s="6">
        <f t="shared" si="10"/>
        <v>0</v>
      </c>
      <c r="O220" s="38"/>
      <c r="P220" s="38"/>
      <c r="Q220" s="38"/>
      <c r="R220" s="38"/>
      <c r="S220" s="38"/>
      <c r="T220" s="38"/>
      <c r="U220" s="38" t="e">
        <f>SUM(G220:T220)-#REF!</f>
        <v>#REF!</v>
      </c>
    </row>
    <row r="221" spans="1:21" ht="44.25" hidden="1" customHeight="1" outlineLevel="3" x14ac:dyDescent="0.2">
      <c r="A221" s="128"/>
      <c r="B221" s="439"/>
      <c r="C221" s="166" t="s">
        <v>161</v>
      </c>
      <c r="D221" s="165" t="s">
        <v>59</v>
      </c>
      <c r="E221" s="501"/>
      <c r="F221" s="71" t="s">
        <v>160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/>
      <c r="N221" s="6">
        <f t="shared" si="10"/>
        <v>0</v>
      </c>
      <c r="O221" s="38"/>
      <c r="P221" s="38"/>
      <c r="Q221" s="38"/>
      <c r="R221" s="38"/>
      <c r="S221" s="38"/>
      <c r="T221" s="38"/>
      <c r="U221" s="38" t="e">
        <f>SUM(G221:T221)-#REF!</f>
        <v>#REF!</v>
      </c>
    </row>
    <row r="222" spans="1:21" ht="45" hidden="1" customHeight="1" outlineLevel="3" x14ac:dyDescent="0.2">
      <c r="A222" s="39"/>
      <c r="B222" s="439"/>
      <c r="C222" s="167" t="s">
        <v>162</v>
      </c>
      <c r="D222" s="168" t="s">
        <v>50</v>
      </c>
      <c r="E222" s="501"/>
      <c r="F222" s="47" t="s">
        <v>11</v>
      </c>
      <c r="G222" s="40">
        <v>0</v>
      </c>
      <c r="H222" s="40">
        <v>0</v>
      </c>
      <c r="I222" s="40">
        <v>0</v>
      </c>
      <c r="J222" s="40">
        <v>519.4</v>
      </c>
      <c r="K222" s="40">
        <v>1000</v>
      </c>
      <c r="L222" s="40">
        <v>1000</v>
      </c>
      <c r="M222" s="40">
        <v>1070</v>
      </c>
      <c r="N222" s="6">
        <f t="shared" si="10"/>
        <v>3589.4</v>
      </c>
      <c r="O222" s="40">
        <v>1070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f t="shared" ref="U222:U234" si="14">SUM(G222:T222)-N222</f>
        <v>4659.3999999999996</v>
      </c>
    </row>
    <row r="223" spans="1:21" ht="48.75" hidden="1" customHeight="1" outlineLevel="3" x14ac:dyDescent="0.2">
      <c r="A223" s="39"/>
      <c r="B223" s="439"/>
      <c r="C223" s="169" t="s">
        <v>163</v>
      </c>
      <c r="D223" s="170" t="s">
        <v>56</v>
      </c>
      <c r="E223" s="501" t="s">
        <v>164</v>
      </c>
      <c r="F223" s="47" t="s">
        <v>11</v>
      </c>
      <c r="G223" s="40">
        <v>0</v>
      </c>
      <c r="H223" s="40">
        <v>0</v>
      </c>
      <c r="I223" s="40">
        <v>0</v>
      </c>
      <c r="J223" s="40">
        <v>972</v>
      </c>
      <c r="K223" s="40">
        <v>3900</v>
      </c>
      <c r="L223" s="40">
        <v>0</v>
      </c>
      <c r="M223" s="40">
        <v>0</v>
      </c>
      <c r="N223" s="6">
        <f t="shared" si="10"/>
        <v>4872</v>
      </c>
      <c r="O223" s="40">
        <v>0</v>
      </c>
      <c r="P223" s="38">
        <v>0</v>
      </c>
      <c r="Q223" s="38">
        <v>0</v>
      </c>
      <c r="R223" s="38">
        <v>0</v>
      </c>
      <c r="S223" s="38">
        <v>0</v>
      </c>
      <c r="T223" s="38">
        <v>0</v>
      </c>
      <c r="U223" s="38">
        <f t="shared" si="14"/>
        <v>4872</v>
      </c>
    </row>
    <row r="224" spans="1:21" ht="45.75" hidden="1" customHeight="1" outlineLevel="3" x14ac:dyDescent="0.2">
      <c r="A224" s="41"/>
      <c r="B224" s="439"/>
      <c r="C224" s="171" t="s">
        <v>165</v>
      </c>
      <c r="D224" s="172">
        <v>2020</v>
      </c>
      <c r="E224" s="501"/>
      <c r="F224" s="47" t="s">
        <v>11</v>
      </c>
      <c r="G224" s="40">
        <v>0</v>
      </c>
      <c r="H224" s="40">
        <v>0</v>
      </c>
      <c r="I224" s="40">
        <v>0</v>
      </c>
      <c r="J224" s="40">
        <v>0</v>
      </c>
      <c r="K224" s="40">
        <v>900</v>
      </c>
      <c r="L224" s="40">
        <v>0</v>
      </c>
      <c r="M224" s="40">
        <v>0</v>
      </c>
      <c r="N224" s="6">
        <f t="shared" si="10"/>
        <v>900</v>
      </c>
      <c r="O224" s="40">
        <v>0</v>
      </c>
      <c r="P224" s="38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f t="shared" si="14"/>
        <v>900</v>
      </c>
    </row>
    <row r="225" spans="1:21" ht="44.25" hidden="1" customHeight="1" outlineLevel="3" x14ac:dyDescent="0.2">
      <c r="A225" s="41"/>
      <c r="B225" s="439"/>
      <c r="C225" s="167" t="s">
        <v>166</v>
      </c>
      <c r="D225" s="80" t="s">
        <v>90</v>
      </c>
      <c r="E225" s="41"/>
      <c r="F225" s="47" t="s">
        <v>11</v>
      </c>
      <c r="G225" s="40">
        <v>0</v>
      </c>
      <c r="H225" s="40">
        <v>0</v>
      </c>
      <c r="I225" s="40">
        <v>0</v>
      </c>
      <c r="J225" s="40">
        <v>0</v>
      </c>
      <c r="K225" s="40">
        <v>350</v>
      </c>
      <c r="L225" s="40">
        <v>370</v>
      </c>
      <c r="M225" s="40">
        <v>0</v>
      </c>
      <c r="N225" s="6">
        <f t="shared" si="10"/>
        <v>720</v>
      </c>
      <c r="O225" s="40">
        <v>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 t="shared" si="14"/>
        <v>720</v>
      </c>
    </row>
    <row r="226" spans="1:21" ht="47.25" hidden="1" customHeight="1" outlineLevel="3" x14ac:dyDescent="0.2">
      <c r="A226" s="41"/>
      <c r="B226" s="131"/>
      <c r="C226" s="173" t="s">
        <v>167</v>
      </c>
      <c r="D226" s="170" t="s">
        <v>90</v>
      </c>
      <c r="E226" s="41"/>
      <c r="F226" s="47" t="s">
        <v>11</v>
      </c>
      <c r="G226" s="40">
        <v>0</v>
      </c>
      <c r="H226" s="40">
        <v>0</v>
      </c>
      <c r="I226" s="40">
        <v>0</v>
      </c>
      <c r="J226" s="40">
        <v>0</v>
      </c>
      <c r="K226" s="40">
        <v>1000</v>
      </c>
      <c r="L226" s="40">
        <v>3000</v>
      </c>
      <c r="M226" s="40">
        <v>3000</v>
      </c>
      <c r="N226" s="6">
        <f t="shared" si="10"/>
        <v>7000</v>
      </c>
      <c r="O226" s="40">
        <v>3000</v>
      </c>
      <c r="P226" s="38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f t="shared" si="14"/>
        <v>10000</v>
      </c>
    </row>
    <row r="227" spans="1:21" ht="42" hidden="1" customHeight="1" outlineLevel="3" x14ac:dyDescent="0.2">
      <c r="A227" s="39"/>
      <c r="B227" s="209"/>
      <c r="C227" s="174" t="s">
        <v>168</v>
      </c>
      <c r="D227" s="165">
        <v>2020</v>
      </c>
      <c r="E227" s="208"/>
      <c r="F227" s="47" t="s">
        <v>11</v>
      </c>
      <c r="G227" s="40">
        <v>0</v>
      </c>
      <c r="H227" s="40">
        <v>0</v>
      </c>
      <c r="I227" s="40">
        <v>0</v>
      </c>
      <c r="J227" s="40">
        <v>0</v>
      </c>
      <c r="K227" s="40">
        <v>2450</v>
      </c>
      <c r="L227" s="40">
        <v>0</v>
      </c>
      <c r="M227" s="40">
        <v>0</v>
      </c>
      <c r="N227" s="6">
        <f t="shared" si="10"/>
        <v>2450</v>
      </c>
      <c r="O227" s="40">
        <v>0</v>
      </c>
      <c r="P227" s="38">
        <v>0</v>
      </c>
      <c r="Q227" s="38">
        <v>0</v>
      </c>
      <c r="R227" s="38">
        <v>0</v>
      </c>
      <c r="S227" s="38">
        <v>0</v>
      </c>
      <c r="T227" s="38">
        <v>0</v>
      </c>
      <c r="U227" s="38">
        <f t="shared" si="14"/>
        <v>2450</v>
      </c>
    </row>
    <row r="228" spans="1:21" ht="49.5" hidden="1" customHeight="1" outlineLevel="3" x14ac:dyDescent="0.2">
      <c r="A228" s="39"/>
      <c r="B228" s="209"/>
      <c r="C228" s="174" t="s">
        <v>169</v>
      </c>
      <c r="D228" s="165">
        <v>2020</v>
      </c>
      <c r="E228" s="208"/>
      <c r="F228" s="47" t="s">
        <v>11</v>
      </c>
      <c r="G228" s="40">
        <v>0</v>
      </c>
      <c r="H228" s="40">
        <v>0</v>
      </c>
      <c r="I228" s="40">
        <v>0</v>
      </c>
      <c r="J228" s="40">
        <v>0</v>
      </c>
      <c r="K228" s="40">
        <v>4500</v>
      </c>
      <c r="L228" s="40">
        <v>0</v>
      </c>
      <c r="M228" s="40">
        <v>0</v>
      </c>
      <c r="N228" s="6">
        <f t="shared" si="10"/>
        <v>4500</v>
      </c>
      <c r="O228" s="40">
        <v>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si="14"/>
        <v>4500</v>
      </c>
    </row>
    <row r="229" spans="1:21" ht="40.5" hidden="1" customHeight="1" outlineLevel="3" x14ac:dyDescent="0.2">
      <c r="A229" s="39"/>
      <c r="B229" s="42"/>
      <c r="C229" s="175" t="s">
        <v>170</v>
      </c>
      <c r="D229" s="176" t="s">
        <v>90</v>
      </c>
      <c r="E229" s="208"/>
      <c r="F229" s="47" t="s">
        <v>11</v>
      </c>
      <c r="G229" s="40">
        <v>0</v>
      </c>
      <c r="H229" s="40">
        <v>0</v>
      </c>
      <c r="I229" s="40">
        <v>0</v>
      </c>
      <c r="J229" s="40">
        <v>0</v>
      </c>
      <c r="K229" s="40">
        <v>5160</v>
      </c>
      <c r="L229" s="40">
        <v>5000</v>
      </c>
      <c r="M229" s="40">
        <v>0</v>
      </c>
      <c r="N229" s="6">
        <f t="shared" si="10"/>
        <v>10160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10160</v>
      </c>
    </row>
    <row r="230" spans="1:21" ht="48" hidden="1" customHeight="1" outlineLevel="3" x14ac:dyDescent="0.2">
      <c r="A230" s="43"/>
      <c r="B230" s="44"/>
      <c r="C230" s="45" t="s">
        <v>171</v>
      </c>
      <c r="D230" s="84" t="s">
        <v>59</v>
      </c>
      <c r="E230" s="208"/>
      <c r="F230" s="47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3150</v>
      </c>
      <c r="M230" s="40">
        <v>3125</v>
      </c>
      <c r="N230" s="6">
        <f t="shared" si="10"/>
        <v>6275</v>
      </c>
      <c r="O230" s="40">
        <v>3125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9400</v>
      </c>
    </row>
    <row r="231" spans="1:21" ht="51.75" hidden="1" customHeight="1" outlineLevel="3" x14ac:dyDescent="0.2">
      <c r="A231" s="43"/>
      <c r="B231" s="204"/>
      <c r="C231" s="169" t="s">
        <v>172</v>
      </c>
      <c r="D231" s="81" t="s">
        <v>59</v>
      </c>
      <c r="E231" s="205"/>
      <c r="F231" s="47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f>5350-5350</f>
        <v>0</v>
      </c>
      <c r="M231" s="40">
        <f>5350-5350</f>
        <v>0</v>
      </c>
      <c r="N231" s="6">
        <f t="shared" si="10"/>
        <v>0</v>
      </c>
      <c r="O231" s="40">
        <f>5350-5350</f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0</v>
      </c>
    </row>
    <row r="232" spans="1:21" ht="40.5" hidden="1" customHeight="1" outlineLevel="3" x14ac:dyDescent="0.2">
      <c r="A232" s="43"/>
      <c r="B232" s="204"/>
      <c r="C232" s="171" t="s">
        <v>173</v>
      </c>
      <c r="D232" s="172" t="s">
        <v>59</v>
      </c>
      <c r="E232" s="208"/>
      <c r="F232" s="47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6500</v>
      </c>
      <c r="M232" s="40">
        <v>750</v>
      </c>
      <c r="N232" s="6">
        <f t="shared" si="10"/>
        <v>7250</v>
      </c>
      <c r="O232" s="40">
        <v>750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8000</v>
      </c>
    </row>
    <row r="233" spans="1:21" ht="84" hidden="1" customHeight="1" outlineLevel="3" x14ac:dyDescent="0.2">
      <c r="A233" s="43"/>
      <c r="B233" s="204"/>
      <c r="C233" s="46" t="s">
        <v>174</v>
      </c>
      <c r="D233" s="47">
        <v>2023</v>
      </c>
      <c r="E233" s="208"/>
      <c r="F233" s="47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6">
        <f t="shared" si="10"/>
        <v>0</v>
      </c>
      <c r="O233" s="9">
        <f>10623.9-934.29</f>
        <v>9689.61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9689.61</v>
      </c>
    </row>
    <row r="234" spans="1:21" ht="43.5" hidden="1" customHeight="1" outlineLevel="3" x14ac:dyDescent="0.2">
      <c r="A234" s="48"/>
      <c r="B234" s="120"/>
      <c r="C234" s="226" t="s">
        <v>175</v>
      </c>
      <c r="D234" s="227">
        <v>2023</v>
      </c>
      <c r="E234" s="83"/>
      <c r="F234" s="71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6">
        <f t="shared" si="10"/>
        <v>0</v>
      </c>
      <c r="O234" s="9">
        <v>934.28800000000001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934.28800000000001</v>
      </c>
    </row>
    <row r="235" spans="1:21" ht="41.25" hidden="1" customHeight="1" outlineLevel="3" x14ac:dyDescent="0.2">
      <c r="A235" s="502" t="s">
        <v>75</v>
      </c>
      <c r="B235" s="503"/>
      <c r="C235" s="179"/>
      <c r="D235" s="84"/>
      <c r="E235" s="84"/>
      <c r="F235" s="47" t="s">
        <v>11</v>
      </c>
      <c r="G235" s="56">
        <f>SUM(G219:G234)</f>
        <v>0</v>
      </c>
      <c r="H235" s="56">
        <f t="shared" ref="H235:T235" si="15">SUM(H219:H234)</f>
        <v>0</v>
      </c>
      <c r="I235" s="56">
        <f t="shared" si="15"/>
        <v>0</v>
      </c>
      <c r="J235" s="56">
        <f t="shared" si="15"/>
        <v>5551.3</v>
      </c>
      <c r="K235" s="56">
        <f t="shared" si="15"/>
        <v>39506.5</v>
      </c>
      <c r="L235" s="56">
        <f t="shared" si="15"/>
        <v>67510</v>
      </c>
      <c r="M235" s="56">
        <f>SUM(M219:M234)</f>
        <v>59195</v>
      </c>
      <c r="N235" s="56">
        <f>SUM(N219:N234)</f>
        <v>171762.8</v>
      </c>
      <c r="O235" s="56">
        <f t="shared" si="15"/>
        <v>61594.998</v>
      </c>
      <c r="P235" s="56">
        <f t="shared" si="15"/>
        <v>0</v>
      </c>
      <c r="Q235" s="56">
        <f t="shared" si="15"/>
        <v>0</v>
      </c>
      <c r="R235" s="56">
        <f t="shared" si="15"/>
        <v>0</v>
      </c>
      <c r="S235" s="56">
        <f t="shared" si="15"/>
        <v>0</v>
      </c>
      <c r="T235" s="56">
        <f t="shared" si="15"/>
        <v>0</v>
      </c>
      <c r="U235" s="56">
        <f>SUM(G235:T235)-N235</f>
        <v>233357.79800000001</v>
      </c>
    </row>
    <row r="236" spans="1:21" ht="84" hidden="1" customHeight="1" outlineLevel="3" x14ac:dyDescent="0.2">
      <c r="A236" s="180">
        <v>4</v>
      </c>
      <c r="B236" s="219" t="s">
        <v>176</v>
      </c>
      <c r="C236" s="50" t="s">
        <v>207</v>
      </c>
      <c r="D236" s="51">
        <v>2020</v>
      </c>
      <c r="E236" s="85" t="s">
        <v>177</v>
      </c>
      <c r="F236" s="47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167.43</v>
      </c>
      <c r="L236" s="40">
        <v>0</v>
      </c>
      <c r="M236" s="40">
        <v>0</v>
      </c>
      <c r="N236" s="6">
        <f t="shared" si="10"/>
        <v>167.43</v>
      </c>
      <c r="O236" s="40">
        <v>0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>SUM(G236:T236)-N236</f>
        <v>167.43</v>
      </c>
    </row>
    <row r="237" spans="1:21" ht="82.5" hidden="1" customHeight="1" outlineLevel="3" x14ac:dyDescent="0.2">
      <c r="A237" s="49"/>
      <c r="B237" s="209"/>
      <c r="C237" s="174" t="s">
        <v>178</v>
      </c>
      <c r="D237" s="182" t="s">
        <v>14</v>
      </c>
      <c r="E237" s="183" t="s">
        <v>179</v>
      </c>
      <c r="F237" s="47" t="s">
        <v>11</v>
      </c>
      <c r="G237" s="38">
        <v>199.92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8">
        <v>0</v>
      </c>
      <c r="N237" s="6">
        <f t="shared" si="10"/>
        <v>199.92</v>
      </c>
      <c r="O237" s="38"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ref="U237:U239" si="16">SUM(G237:T237)-N237</f>
        <v>199.92</v>
      </c>
    </row>
    <row r="238" spans="1:21" ht="76.5" hidden="1" customHeight="1" outlineLevel="3" x14ac:dyDescent="0.2">
      <c r="A238" s="52"/>
      <c r="B238" s="53"/>
      <c r="C238" s="207" t="s">
        <v>180</v>
      </c>
      <c r="D238" s="182">
        <v>2021</v>
      </c>
      <c r="E238" s="183" t="s">
        <v>177</v>
      </c>
      <c r="F238" s="47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485.1</v>
      </c>
      <c r="M238" s="40">
        <v>0</v>
      </c>
      <c r="N238" s="6">
        <f t="shared" si="10"/>
        <v>485.1</v>
      </c>
      <c r="O238" s="40">
        <v>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6"/>
        <v>485.1</v>
      </c>
    </row>
    <row r="239" spans="1:21" ht="77.25" hidden="1" customHeight="1" outlineLevel="3" x14ac:dyDescent="0.2">
      <c r="A239" s="54"/>
      <c r="B239" s="55"/>
      <c r="C239" s="207" t="s">
        <v>181</v>
      </c>
      <c r="D239" s="182">
        <v>2022</v>
      </c>
      <c r="E239" s="183" t="s">
        <v>177</v>
      </c>
      <c r="F239" s="47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488.9</v>
      </c>
      <c r="N239" s="6">
        <f t="shared" si="10"/>
        <v>488.9</v>
      </c>
      <c r="O239" s="40">
        <v>0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6"/>
        <v>488.9</v>
      </c>
    </row>
    <row r="240" spans="1:21" ht="40.5" hidden="1" customHeight="1" outlineLevel="3" x14ac:dyDescent="0.2">
      <c r="A240" s="486" t="s">
        <v>75</v>
      </c>
      <c r="B240" s="487"/>
      <c r="C240" s="488"/>
      <c r="D240" s="488"/>
      <c r="E240" s="489"/>
      <c r="F240" s="47" t="s">
        <v>11</v>
      </c>
      <c r="G240" s="56">
        <f>SUM(G236:G239)</f>
        <v>199.92</v>
      </c>
      <c r="H240" s="56">
        <f t="shared" ref="H240:T240" si="17">SUM(H236:H239)</f>
        <v>0</v>
      </c>
      <c r="I240" s="56">
        <f t="shared" si="17"/>
        <v>0</v>
      </c>
      <c r="J240" s="56">
        <f t="shared" si="17"/>
        <v>0</v>
      </c>
      <c r="K240" s="56">
        <f t="shared" si="17"/>
        <v>167.43</v>
      </c>
      <c r="L240" s="56">
        <f t="shared" si="17"/>
        <v>485.1</v>
      </c>
      <c r="M240" s="56">
        <f t="shared" si="17"/>
        <v>488.9</v>
      </c>
      <c r="N240" s="56">
        <f t="shared" si="17"/>
        <v>1341.35</v>
      </c>
      <c r="O240" s="56">
        <f t="shared" si="17"/>
        <v>0</v>
      </c>
      <c r="P240" s="56">
        <f t="shared" si="17"/>
        <v>0</v>
      </c>
      <c r="Q240" s="56">
        <f t="shared" si="17"/>
        <v>0</v>
      </c>
      <c r="R240" s="56">
        <f t="shared" si="17"/>
        <v>0</v>
      </c>
      <c r="S240" s="56">
        <f t="shared" si="17"/>
        <v>0</v>
      </c>
      <c r="T240" s="56">
        <f t="shared" si="17"/>
        <v>0</v>
      </c>
      <c r="U240" s="56">
        <f>SUM(G240:T240)-N240</f>
        <v>1341.35</v>
      </c>
    </row>
    <row r="241" spans="1:21" ht="78.75" hidden="1" customHeight="1" outlineLevel="3" collapsed="1" x14ac:dyDescent="0.2">
      <c r="A241" s="185">
        <v>5</v>
      </c>
      <c r="B241" s="186" t="s">
        <v>182</v>
      </c>
      <c r="C241" s="187" t="s">
        <v>241</v>
      </c>
      <c r="D241" s="188" t="s">
        <v>183</v>
      </c>
      <c r="E241" s="189" t="s">
        <v>177</v>
      </c>
      <c r="F241" s="47" t="s">
        <v>11</v>
      </c>
      <c r="G241" s="38">
        <v>0</v>
      </c>
      <c r="H241" s="38">
        <v>300</v>
      </c>
      <c r="I241" s="38">
        <v>0</v>
      </c>
      <c r="J241" s="38">
        <v>0</v>
      </c>
      <c r="K241" s="38">
        <v>0</v>
      </c>
      <c r="L241" s="38">
        <v>1469</v>
      </c>
      <c r="M241" s="38">
        <v>0</v>
      </c>
      <c r="N241" s="6">
        <f t="shared" si="10"/>
        <v>1769</v>
      </c>
      <c r="O241" s="38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f>SUM(G241:T241)-N241</f>
        <v>1769</v>
      </c>
    </row>
    <row r="242" spans="1:21" ht="41.25" hidden="1" customHeight="1" outlineLevel="3" x14ac:dyDescent="0.2">
      <c r="A242" s="190"/>
      <c r="B242" s="57"/>
      <c r="C242" s="58" t="s">
        <v>242</v>
      </c>
      <c r="D242" s="132" t="s">
        <v>61</v>
      </c>
      <c r="E242" s="490" t="s">
        <v>177</v>
      </c>
      <c r="F242" s="47" t="s">
        <v>11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8">
        <v>31</v>
      </c>
      <c r="M242" s="38">
        <v>0</v>
      </c>
      <c r="N242" s="6">
        <f t="shared" si="10"/>
        <v>31</v>
      </c>
      <c r="O242" s="38">
        <v>0</v>
      </c>
      <c r="P242" s="38">
        <v>50</v>
      </c>
      <c r="Q242" s="38">
        <v>55</v>
      </c>
      <c r="R242" s="38">
        <v>61</v>
      </c>
      <c r="S242" s="38">
        <v>67</v>
      </c>
      <c r="T242" s="38">
        <v>75</v>
      </c>
      <c r="U242" s="38">
        <f t="shared" ref="U242:U244" si="18">SUM(G242:T242)-N242</f>
        <v>339</v>
      </c>
    </row>
    <row r="243" spans="1:21" ht="52.5" hidden="1" customHeight="1" outlineLevel="3" x14ac:dyDescent="0.2">
      <c r="A243" s="190"/>
      <c r="B243" s="57"/>
      <c r="C243" s="59" t="s">
        <v>184</v>
      </c>
      <c r="D243" s="182" t="s">
        <v>73</v>
      </c>
      <c r="E243" s="491"/>
      <c r="F243" s="47" t="s">
        <v>11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0</v>
      </c>
      <c r="O243" s="38">
        <v>0</v>
      </c>
      <c r="P243" s="38">
        <v>35</v>
      </c>
      <c r="Q243" s="38">
        <v>40</v>
      </c>
      <c r="R243" s="38">
        <v>45</v>
      </c>
      <c r="S243" s="38">
        <v>50</v>
      </c>
      <c r="T243" s="38">
        <v>55</v>
      </c>
      <c r="U243" s="38">
        <f t="shared" si="18"/>
        <v>225</v>
      </c>
    </row>
    <row r="244" spans="1:21" ht="95.25" hidden="1" customHeight="1" outlineLevel="2" collapsed="1" x14ac:dyDescent="0.2">
      <c r="A244" s="185">
        <v>5</v>
      </c>
      <c r="B244" s="186" t="s">
        <v>182</v>
      </c>
      <c r="C244" s="14" t="s">
        <v>279</v>
      </c>
      <c r="D244" s="71" t="s">
        <v>73</v>
      </c>
      <c r="E244" s="90" t="s">
        <v>249</v>
      </c>
      <c r="F244" s="71" t="s">
        <v>11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6">
        <f t="shared" si="10"/>
        <v>0</v>
      </c>
      <c r="O244" s="38">
        <v>0</v>
      </c>
      <c r="P244" s="38">
        <v>750</v>
      </c>
      <c r="Q244" s="38">
        <v>600</v>
      </c>
      <c r="R244" s="38">
        <v>300</v>
      </c>
      <c r="S244" s="38">
        <v>450</v>
      </c>
      <c r="T244" s="38">
        <v>0</v>
      </c>
      <c r="U244" s="38">
        <f t="shared" si="18"/>
        <v>2100</v>
      </c>
    </row>
    <row r="245" spans="1:21" ht="18.75" hidden="1" customHeight="1" outlineLevel="1" collapsed="1" x14ac:dyDescent="0.2">
      <c r="A245" s="492" t="s">
        <v>75</v>
      </c>
      <c r="B245" s="493"/>
      <c r="C245" s="494"/>
      <c r="D245" s="494"/>
      <c r="E245" s="495"/>
      <c r="F245" s="47" t="s">
        <v>11</v>
      </c>
      <c r="G245" s="60">
        <f>G241+G242+G243</f>
        <v>0</v>
      </c>
      <c r="H245" s="60">
        <f t="shared" ref="H245:M245" si="19">H241+H242+H243</f>
        <v>300</v>
      </c>
      <c r="I245" s="60">
        <f t="shared" si="19"/>
        <v>0</v>
      </c>
      <c r="J245" s="60">
        <f t="shared" si="19"/>
        <v>0</v>
      </c>
      <c r="K245" s="60">
        <f t="shared" si="19"/>
        <v>0</v>
      </c>
      <c r="L245" s="60">
        <f t="shared" si="19"/>
        <v>1500</v>
      </c>
      <c r="M245" s="60">
        <f t="shared" si="19"/>
        <v>0</v>
      </c>
      <c r="N245" s="60">
        <f>G245+H245+I245+J245+K245+L245+M245</f>
        <v>1800</v>
      </c>
      <c r="O245" s="60">
        <f>O241+O242+O243+O244</f>
        <v>0</v>
      </c>
      <c r="P245" s="60">
        <f t="shared" ref="P245:T245" si="20">P241+P242+P243+P244</f>
        <v>835</v>
      </c>
      <c r="Q245" s="60">
        <f t="shared" si="20"/>
        <v>695</v>
      </c>
      <c r="R245" s="60">
        <f t="shared" si="20"/>
        <v>406</v>
      </c>
      <c r="S245" s="60">
        <f t="shared" si="20"/>
        <v>567</v>
      </c>
      <c r="T245" s="60">
        <f t="shared" si="20"/>
        <v>130</v>
      </c>
      <c r="U245" s="60">
        <f>SUM(G245:T245)-N245</f>
        <v>4433</v>
      </c>
    </row>
    <row r="246" spans="1:21" ht="46.5" customHeight="1" collapsed="1" x14ac:dyDescent="0.2">
      <c r="A246" s="496" t="s">
        <v>185</v>
      </c>
      <c r="B246" s="497"/>
      <c r="C246" s="191"/>
      <c r="D246" s="192"/>
      <c r="E246" s="192"/>
      <c r="F246" s="47" t="s">
        <v>11</v>
      </c>
      <c r="G246" s="61">
        <f t="shared" ref="G246:T246" si="21">G240+G80+G218+G235+G245</f>
        <v>254461.71999999997</v>
      </c>
      <c r="H246" s="61">
        <f t="shared" si="21"/>
        <v>419562.19999999995</v>
      </c>
      <c r="I246" s="61">
        <f t="shared" si="21"/>
        <v>461134.5</v>
      </c>
      <c r="J246" s="61">
        <f t="shared" si="21"/>
        <v>614158.40000000014</v>
      </c>
      <c r="K246" s="61">
        <f t="shared" si="21"/>
        <v>910764.79</v>
      </c>
      <c r="L246" s="61">
        <f t="shared" si="21"/>
        <v>2006163.4</v>
      </c>
      <c r="M246" s="61">
        <f t="shared" si="21"/>
        <v>2130497.2000000002</v>
      </c>
      <c r="N246" s="61">
        <f t="shared" si="21"/>
        <v>6796742.21</v>
      </c>
      <c r="O246" s="61">
        <f t="shared" si="21"/>
        <v>2120341.898</v>
      </c>
      <c r="P246" s="61">
        <f t="shared" si="21"/>
        <v>1849788.28614</v>
      </c>
      <c r="Q246" s="61">
        <f t="shared" si="21"/>
        <v>1599754.8911099997</v>
      </c>
      <c r="R246" s="61">
        <f t="shared" si="21"/>
        <v>1698390.5643600002</v>
      </c>
      <c r="S246" s="61">
        <f t="shared" si="21"/>
        <v>1783638.2713599999</v>
      </c>
      <c r="T246" s="61">
        <f t="shared" si="21"/>
        <v>2141462.8696440915</v>
      </c>
      <c r="U246" s="61">
        <f>SUM(G246:T246)-N246</f>
        <v>17990118.990614086</v>
      </c>
    </row>
    <row r="247" spans="1:21" ht="48.75" customHeight="1" x14ac:dyDescent="0.2">
      <c r="A247" s="62"/>
      <c r="B247" s="451" t="s">
        <v>248</v>
      </c>
      <c r="C247" s="451"/>
      <c r="D247" s="451"/>
      <c r="E247" s="451"/>
      <c r="F247" s="451"/>
      <c r="G247" s="451"/>
      <c r="H247" s="451"/>
      <c r="I247" s="451"/>
      <c r="J247" s="451"/>
      <c r="K247" s="451"/>
      <c r="L247" s="451"/>
      <c r="M247" s="451"/>
      <c r="N247" s="451"/>
      <c r="O247" s="451"/>
      <c r="P247" s="451"/>
      <c r="Q247" s="451"/>
      <c r="R247" s="451"/>
      <c r="S247" s="451"/>
      <c r="T247" s="451"/>
      <c r="U247" s="451"/>
    </row>
    <row r="248" spans="1:21" ht="63" customHeight="1" x14ac:dyDescent="0.25">
      <c r="B248" s="63" t="s">
        <v>101</v>
      </c>
      <c r="D248" s="63"/>
      <c r="E248" s="63"/>
    </row>
    <row r="249" spans="1:21" s="7" customFormat="1" ht="27" x14ac:dyDescent="0.35">
      <c r="B249" s="485" t="s">
        <v>191</v>
      </c>
      <c r="C249" s="485"/>
      <c r="D249" s="485"/>
      <c r="E249" s="485"/>
      <c r="F249" s="485"/>
      <c r="G249" s="485"/>
      <c r="H249" s="485"/>
      <c r="I249" s="485"/>
      <c r="J249" s="485"/>
      <c r="K249" s="485"/>
      <c r="N249" s="74" t="s">
        <v>192</v>
      </c>
    </row>
    <row r="250" spans="1:21" s="7" customFormat="1" x14ac:dyDescent="0.2">
      <c r="C250" s="64"/>
    </row>
    <row r="251" spans="1:21" x14ac:dyDescent="0.2">
      <c r="Q251" s="218">
        <f>Q80-'додаток сесія_24_25листопад'!Q80</f>
        <v>2980.4399999999441</v>
      </c>
      <c r="R251" s="218">
        <f>R80-'додаток сесія_24_25листопад'!R80</f>
        <v>0</v>
      </c>
      <c r="S251" s="218">
        <f>S80-'додаток сесія_24_25листопад'!S80</f>
        <v>0</v>
      </c>
      <c r="T251" s="218">
        <f>T80-'додаток сесія_24_25листопад'!T80</f>
        <v>0</v>
      </c>
      <c r="U251" s="218">
        <f>U80-'додаток сесія_24_25листопад'!U80</f>
        <v>2980.4400000004098</v>
      </c>
    </row>
    <row r="252" spans="1:21" x14ac:dyDescent="0.2">
      <c r="Q252" s="218">
        <f>Q246-'додаток сесія_24_25листопад'!Q246</f>
        <v>2980.4399999999441</v>
      </c>
      <c r="R252" s="218">
        <f>R246-'додаток сесія_24_25листопад'!R246</f>
        <v>0</v>
      </c>
      <c r="S252" s="218">
        <f>S246-'додаток сесія_24_25листопад'!S246</f>
        <v>0</v>
      </c>
      <c r="T252" s="218">
        <f>T246-'додаток сесія_24_25листопад'!T246</f>
        <v>0</v>
      </c>
      <c r="U252" s="218">
        <f>U246-'додаток сесія_24_25листопад'!U246</f>
        <v>2980.4400000013411</v>
      </c>
    </row>
  </sheetData>
  <sheetProtection selectLockedCells="1" selectUnlockedCells="1"/>
  <mergeCells count="49"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U9:U10"/>
    <mergeCell ref="O9:O10"/>
    <mergeCell ref="P9:P10"/>
    <mergeCell ref="Q9:Q10"/>
    <mergeCell ref="R9:R10"/>
    <mergeCell ref="E81:E82"/>
    <mergeCell ref="B83:B141"/>
    <mergeCell ref="E83:E141"/>
    <mergeCell ref="S9:S10"/>
    <mergeCell ref="T9:T10"/>
    <mergeCell ref="E12:E19"/>
    <mergeCell ref="B39:B46"/>
    <mergeCell ref="E39:E45"/>
    <mergeCell ref="M9:M10"/>
    <mergeCell ref="N9:N10"/>
    <mergeCell ref="G9:G10"/>
    <mergeCell ref="H9:H10"/>
    <mergeCell ref="I9:I10"/>
    <mergeCell ref="J9:J10"/>
    <mergeCell ref="K9:K10"/>
    <mergeCell ref="L9:L10"/>
    <mergeCell ref="A59:A60"/>
    <mergeCell ref="B67:B69"/>
    <mergeCell ref="A68:A69"/>
    <mergeCell ref="A80:B80"/>
    <mergeCell ref="A218:B218"/>
    <mergeCell ref="C218:E218"/>
    <mergeCell ref="B219:B225"/>
    <mergeCell ref="E219:E222"/>
    <mergeCell ref="E223:E224"/>
    <mergeCell ref="B247:U247"/>
    <mergeCell ref="A235:B235"/>
    <mergeCell ref="B249:K249"/>
    <mergeCell ref="A240:B240"/>
    <mergeCell ref="C240:E240"/>
    <mergeCell ref="E242:E243"/>
    <mergeCell ref="A245:B245"/>
    <mergeCell ref="C245:E245"/>
    <mergeCell ref="A246:B246"/>
  </mergeCells>
  <printOptions horizontalCentered="1"/>
  <pageMargins left="0.39370078740157483" right="0.39370078740157483" top="0.59055118110236227" bottom="0.39370078740157483" header="0.43307086614173229" footer="0"/>
  <pageSetup paperSize="9" scale="59" firstPageNumber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38" max="20" man="1"/>
    <brk id="70" max="20" man="1"/>
    <brk id="200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view="pageBreakPreview" zoomScale="91" zoomScaleNormal="100" zoomScaleSheetLayoutView="91" workbookViewId="0">
      <pane xSplit="13" ySplit="11" topLeftCell="N73" activePane="bottomRight" state="frozen"/>
      <selection pane="topRight" activeCell="N1" sqref="N1"/>
      <selection pane="bottomLeft" activeCell="A12" sqref="A12"/>
      <selection pane="bottomRight" activeCell="U218" sqref="U218"/>
    </sheetView>
  </sheetViews>
  <sheetFormatPr defaultRowHeight="13.5" outlineLevelRow="3" x14ac:dyDescent="0.2"/>
  <cols>
    <col min="1" max="1" width="5.28515625" style="1" customWidth="1"/>
    <col min="2" max="2" width="15.28515625" style="1" customWidth="1"/>
    <col min="3" max="3" width="60.42578125" style="2" customWidth="1"/>
    <col min="4" max="4" width="7.5703125" style="1" customWidth="1"/>
    <col min="5" max="5" width="15.57031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42578125" style="1" customWidth="1"/>
    <col min="15" max="15" width="12.5703125" style="1" customWidth="1"/>
    <col min="16" max="16" width="12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3.7109375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/>
      <c r="S1" s="87" t="s">
        <v>190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88"/>
      <c r="L2" s="88"/>
      <c r="M2" s="88"/>
      <c r="N2" s="88"/>
      <c r="O2" s="88"/>
      <c r="P2" s="88"/>
      <c r="Q2" s="88"/>
      <c r="R2" s="87"/>
      <c r="S2" s="87" t="s">
        <v>282</v>
      </c>
      <c r="T2" s="88"/>
      <c r="U2" s="88"/>
    </row>
    <row r="3" spans="1:21" ht="15.75" customHeight="1" x14ac:dyDescent="0.3">
      <c r="A3" s="3"/>
      <c r="B3" s="3"/>
      <c r="C3" s="4"/>
      <c r="D3" s="3"/>
      <c r="E3" s="3"/>
      <c r="F3" s="3"/>
      <c r="G3" s="3"/>
      <c r="H3" s="3"/>
      <c r="I3" s="3"/>
      <c r="J3" s="88"/>
      <c r="K3" s="88"/>
      <c r="L3" s="416"/>
      <c r="M3" s="417"/>
      <c r="N3" s="417"/>
      <c r="O3" s="417"/>
      <c r="P3" s="417"/>
      <c r="Q3" s="417"/>
      <c r="R3" s="417"/>
      <c r="S3" s="417"/>
      <c r="T3" s="417"/>
      <c r="U3" s="417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89"/>
      <c r="K4" s="89"/>
      <c r="L4" s="89"/>
      <c r="M4" s="419"/>
      <c r="N4" s="419"/>
      <c r="O4" s="420"/>
      <c r="P4" s="420"/>
      <c r="Q4" s="420"/>
      <c r="R4" s="420"/>
      <c r="S4" s="420"/>
      <c r="T4" s="420"/>
      <c r="U4" s="420"/>
    </row>
    <row r="5" spans="1:21" ht="24" customHeight="1" x14ac:dyDescent="0.35">
      <c r="A5" s="507" t="s">
        <v>0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</row>
    <row r="7" spans="1:21" ht="12.75" customHeight="1" x14ac:dyDescent="0.2">
      <c r="A7" s="508" t="s">
        <v>1</v>
      </c>
      <c r="B7" s="510" t="s">
        <v>2</v>
      </c>
      <c r="C7" s="511" t="s">
        <v>3</v>
      </c>
      <c r="D7" s="513" t="s">
        <v>4</v>
      </c>
      <c r="E7" s="513" t="s">
        <v>5</v>
      </c>
      <c r="F7" s="513" t="s">
        <v>218</v>
      </c>
      <c r="G7" s="510" t="s">
        <v>6</v>
      </c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6"/>
    </row>
    <row r="8" spans="1:21" ht="12.75" x14ac:dyDescent="0.2">
      <c r="A8" s="509"/>
      <c r="B8" s="505"/>
      <c r="C8" s="512"/>
      <c r="D8" s="514"/>
      <c r="E8" s="514"/>
      <c r="F8" s="514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17"/>
    </row>
    <row r="9" spans="1:21" ht="12.75" customHeight="1" x14ac:dyDescent="0.2">
      <c r="A9" s="509"/>
      <c r="B9" s="505"/>
      <c r="C9" s="512"/>
      <c r="D9" s="514"/>
      <c r="E9" s="514"/>
      <c r="F9" s="514"/>
      <c r="G9" s="505">
        <v>2016</v>
      </c>
      <c r="H9" s="505">
        <v>2017</v>
      </c>
      <c r="I9" s="505">
        <v>2018</v>
      </c>
      <c r="J9" s="505">
        <v>2019</v>
      </c>
      <c r="K9" s="505">
        <v>2020</v>
      </c>
      <c r="L9" s="505">
        <v>2021</v>
      </c>
      <c r="M9" s="505">
        <v>2022</v>
      </c>
      <c r="N9" s="505" t="s">
        <v>209</v>
      </c>
      <c r="O9" s="505">
        <v>2023</v>
      </c>
      <c r="P9" s="505">
        <v>2024</v>
      </c>
      <c r="Q9" s="505">
        <v>2025</v>
      </c>
      <c r="R9" s="505">
        <v>2026</v>
      </c>
      <c r="S9" s="505">
        <v>2027</v>
      </c>
      <c r="T9" s="505">
        <v>2028</v>
      </c>
      <c r="U9" s="517" t="s">
        <v>7</v>
      </c>
    </row>
    <row r="10" spans="1:21" ht="20.25" customHeight="1" x14ac:dyDescent="0.2">
      <c r="A10" s="509"/>
      <c r="B10" s="506"/>
      <c r="C10" s="512"/>
      <c r="D10" s="515"/>
      <c r="E10" s="515"/>
      <c r="F10" s="515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18"/>
    </row>
    <row r="11" spans="1:21" ht="21" customHeight="1" x14ac:dyDescent="0.2">
      <c r="A11" s="130">
        <v>1</v>
      </c>
      <c r="B11" s="201">
        <v>2</v>
      </c>
      <c r="C11" s="201">
        <v>3</v>
      </c>
      <c r="D11" s="201">
        <v>4</v>
      </c>
      <c r="E11" s="201">
        <v>5</v>
      </c>
      <c r="F11" s="201">
        <v>6</v>
      </c>
      <c r="G11" s="201"/>
      <c r="H11" s="201"/>
      <c r="I11" s="201"/>
      <c r="J11" s="201"/>
      <c r="K11" s="201"/>
      <c r="L11" s="201"/>
      <c r="M11" s="201"/>
      <c r="N11" s="201">
        <v>7</v>
      </c>
      <c r="O11" s="201">
        <v>8</v>
      </c>
      <c r="P11" s="201">
        <v>9</v>
      </c>
      <c r="Q11" s="201">
        <v>10</v>
      </c>
      <c r="R11" s="201">
        <v>11</v>
      </c>
      <c r="S11" s="201">
        <v>12</v>
      </c>
      <c r="T11" s="201">
        <v>13</v>
      </c>
      <c r="U11" s="202">
        <v>14</v>
      </c>
    </row>
    <row r="12" spans="1:21" s="7" customFormat="1" ht="57" hidden="1" customHeight="1" outlineLevel="1" x14ac:dyDescent="0.2">
      <c r="A12" s="101">
        <v>1</v>
      </c>
      <c r="B12" s="520" t="s">
        <v>8</v>
      </c>
      <c r="C12" s="197" t="s">
        <v>9</v>
      </c>
      <c r="D12" s="93" t="s">
        <v>10</v>
      </c>
      <c r="E12" s="425" t="s">
        <v>271</v>
      </c>
      <c r="F12" s="108" t="s">
        <v>11</v>
      </c>
      <c r="G12" s="22">
        <v>73702.679999999993</v>
      </c>
      <c r="H12" s="22">
        <f>94537.8+830</f>
        <v>95367.8</v>
      </c>
      <c r="I12" s="22">
        <v>114042.5</v>
      </c>
      <c r="J12" s="22">
        <v>143546.20000000001</v>
      </c>
      <c r="K12" s="22">
        <v>227890.4</v>
      </c>
      <c r="L12" s="22">
        <f>59251.7+11539-1500+103.7+3900</f>
        <v>73294.399999999994</v>
      </c>
      <c r="M12" s="22">
        <v>0</v>
      </c>
      <c r="N12" s="22">
        <f>G12+H12+I12+J12+K12+L12+M12</f>
        <v>727843.98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f>SUM(G12:T12)-N12</f>
        <v>727843.98</v>
      </c>
    </row>
    <row r="13" spans="1:21" s="7" customFormat="1" ht="110.25" customHeight="1" collapsed="1" x14ac:dyDescent="0.2">
      <c r="A13" s="124">
        <v>1</v>
      </c>
      <c r="B13" s="439"/>
      <c r="C13" s="198" t="s">
        <v>262</v>
      </c>
      <c r="D13" s="95" t="s">
        <v>258</v>
      </c>
      <c r="E13" s="426"/>
      <c r="F13" s="34" t="s">
        <v>11</v>
      </c>
      <c r="G13" s="6">
        <v>9960</v>
      </c>
      <c r="H13" s="6">
        <v>9960</v>
      </c>
      <c r="I13" s="6">
        <v>400</v>
      </c>
      <c r="J13" s="6">
        <v>2102.1999999999998</v>
      </c>
      <c r="K13" s="6">
        <v>20800</v>
      </c>
      <c r="L13" s="6">
        <v>0</v>
      </c>
      <c r="M13" s="6">
        <v>0</v>
      </c>
      <c r="N13" s="6">
        <f t="shared" ref="N13:N76" si="0">G13+H13+I13+J13+K13+L13+M13</f>
        <v>43222.2</v>
      </c>
      <c r="O13" s="6">
        <f>0+5200</f>
        <v>5200</v>
      </c>
      <c r="P13" s="6">
        <v>5600</v>
      </c>
      <c r="Q13" s="6">
        <f>7000-7000</f>
        <v>0</v>
      </c>
      <c r="R13" s="6">
        <f>8000-8000</f>
        <v>0</v>
      </c>
      <c r="S13" s="6">
        <f>9000-9000</f>
        <v>0</v>
      </c>
      <c r="T13" s="6">
        <f>10000-10000</f>
        <v>0</v>
      </c>
      <c r="U13" s="6">
        <f t="shared" ref="U13:U76" si="1">SUM(G13:T13)-N13</f>
        <v>54022.2</v>
      </c>
    </row>
    <row r="14" spans="1:21" s="7" customFormat="1" ht="48.75" customHeight="1" x14ac:dyDescent="0.2">
      <c r="A14" s="8"/>
      <c r="B14" s="439"/>
      <c r="C14" s="198" t="s">
        <v>12</v>
      </c>
      <c r="D14" s="95" t="s">
        <v>258</v>
      </c>
      <c r="E14" s="426"/>
      <c r="F14" s="24" t="s">
        <v>11</v>
      </c>
      <c r="G14" s="6">
        <v>17132.7</v>
      </c>
      <c r="H14" s="9">
        <v>15000</v>
      </c>
      <c r="I14" s="9">
        <v>8150</v>
      </c>
      <c r="J14" s="9">
        <v>7800</v>
      </c>
      <c r="K14" s="9">
        <v>13000</v>
      </c>
      <c r="L14" s="9">
        <v>12500</v>
      </c>
      <c r="M14" s="9">
        <v>13750</v>
      </c>
      <c r="N14" s="6">
        <f t="shared" si="0"/>
        <v>87332.7</v>
      </c>
      <c r="O14" s="9">
        <f>15125-5200</f>
        <v>9925</v>
      </c>
      <c r="P14" s="9">
        <v>0</v>
      </c>
      <c r="Q14" s="9">
        <f>20000-20000</f>
        <v>0</v>
      </c>
      <c r="R14" s="9">
        <f>22000-22000</f>
        <v>0</v>
      </c>
      <c r="S14" s="9">
        <f>18000-18000</f>
        <v>0</v>
      </c>
      <c r="T14" s="9">
        <f>20000-20000</f>
        <v>0</v>
      </c>
      <c r="U14" s="6">
        <f t="shared" si="1"/>
        <v>97257.7</v>
      </c>
    </row>
    <row r="15" spans="1:21" s="7" customFormat="1" ht="46.5" hidden="1" customHeight="1" outlineLevel="1" x14ac:dyDescent="0.2">
      <c r="A15" s="8"/>
      <c r="B15" s="439"/>
      <c r="C15" s="198" t="s">
        <v>13</v>
      </c>
      <c r="D15" s="95" t="s">
        <v>14</v>
      </c>
      <c r="E15" s="426"/>
      <c r="F15" s="24" t="s">
        <v>11</v>
      </c>
      <c r="G15" s="6">
        <v>100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6">
        <f t="shared" si="0"/>
        <v>100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6">
        <f t="shared" si="1"/>
        <v>100</v>
      </c>
    </row>
    <row r="16" spans="1:21" s="7" customFormat="1" ht="46.5" hidden="1" customHeight="1" outlineLevel="1" x14ac:dyDescent="0.2">
      <c r="A16" s="8"/>
      <c r="B16" s="439"/>
      <c r="C16" s="198" t="s">
        <v>15</v>
      </c>
      <c r="D16" s="95" t="s">
        <v>14</v>
      </c>
      <c r="E16" s="426"/>
      <c r="F16" s="24" t="s">
        <v>11</v>
      </c>
      <c r="G16" s="6">
        <v>290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6">
        <f t="shared" si="0"/>
        <v>290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6">
        <f t="shared" si="1"/>
        <v>290</v>
      </c>
    </row>
    <row r="17" spans="1:21" s="7" customFormat="1" ht="42.75" hidden="1" customHeight="1" outlineLevel="1" x14ac:dyDescent="0.2">
      <c r="A17" s="8"/>
      <c r="B17" s="439"/>
      <c r="C17" s="198" t="s">
        <v>16</v>
      </c>
      <c r="D17" s="95" t="s">
        <v>14</v>
      </c>
      <c r="E17" s="426"/>
      <c r="F17" s="24" t="s">
        <v>11</v>
      </c>
      <c r="G17" s="6">
        <v>60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6">
        <f t="shared" si="0"/>
        <v>60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6">
        <f t="shared" si="1"/>
        <v>60</v>
      </c>
    </row>
    <row r="18" spans="1:21" s="7" customFormat="1" ht="44.25" hidden="1" customHeight="1" outlineLevel="1" x14ac:dyDescent="0.2">
      <c r="A18" s="8"/>
      <c r="B18" s="439"/>
      <c r="C18" s="198" t="s">
        <v>17</v>
      </c>
      <c r="D18" s="95" t="s">
        <v>14</v>
      </c>
      <c r="E18" s="426"/>
      <c r="F18" s="24" t="s">
        <v>11</v>
      </c>
      <c r="G18" s="6">
        <v>100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6">
        <f t="shared" si="0"/>
        <v>100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6">
        <f t="shared" si="1"/>
        <v>100</v>
      </c>
    </row>
    <row r="19" spans="1:21" s="7" customFormat="1" ht="42" customHeight="1" collapsed="1" x14ac:dyDescent="0.2">
      <c r="A19" s="8"/>
      <c r="B19" s="439"/>
      <c r="C19" s="198" t="s">
        <v>18</v>
      </c>
      <c r="D19" s="95" t="s">
        <v>25</v>
      </c>
      <c r="E19" s="426"/>
      <c r="F19" s="24" t="s">
        <v>11</v>
      </c>
      <c r="G19" s="9">
        <v>0</v>
      </c>
      <c r="H19" s="9">
        <v>3500</v>
      </c>
      <c r="I19" s="9">
        <v>1200</v>
      </c>
      <c r="J19" s="9">
        <v>20000</v>
      </c>
      <c r="K19" s="9">
        <v>12050</v>
      </c>
      <c r="L19" s="9">
        <v>15500</v>
      </c>
      <c r="M19" s="9">
        <v>3850</v>
      </c>
      <c r="N19" s="6">
        <f t="shared" si="0"/>
        <v>56100</v>
      </c>
      <c r="O19" s="9">
        <v>4235</v>
      </c>
      <c r="P19" s="9">
        <v>0</v>
      </c>
      <c r="Q19" s="9">
        <f>3500-3500</f>
        <v>0</v>
      </c>
      <c r="R19" s="9">
        <f>4000-4000</f>
        <v>0</v>
      </c>
      <c r="S19" s="9">
        <f>4500-4500</f>
        <v>0</v>
      </c>
      <c r="T19" s="9">
        <f>5000-5000</f>
        <v>0</v>
      </c>
      <c r="U19" s="6">
        <f t="shared" si="1"/>
        <v>60335</v>
      </c>
    </row>
    <row r="20" spans="1:21" s="7" customFormat="1" ht="46.5" hidden="1" customHeight="1" outlineLevel="1" x14ac:dyDescent="0.2">
      <c r="A20" s="10"/>
      <c r="B20" s="11"/>
      <c r="C20" s="198" t="s">
        <v>19</v>
      </c>
      <c r="D20" s="96" t="s">
        <v>14</v>
      </c>
      <c r="E20" s="10"/>
      <c r="F20" s="24" t="s">
        <v>11</v>
      </c>
      <c r="G20" s="9">
        <v>0</v>
      </c>
      <c r="H20" s="9">
        <v>200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200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200</v>
      </c>
    </row>
    <row r="21" spans="1:21" s="7" customFormat="1" ht="43.5" hidden="1" customHeight="1" outlineLevel="1" x14ac:dyDescent="0.2">
      <c r="A21" s="8"/>
      <c r="B21" s="10"/>
      <c r="C21" s="198" t="s">
        <v>20</v>
      </c>
      <c r="D21" s="95" t="s">
        <v>14</v>
      </c>
      <c r="E21" s="10"/>
      <c r="F21" s="24" t="s">
        <v>11</v>
      </c>
      <c r="G21" s="9">
        <v>0</v>
      </c>
      <c r="H21" s="6">
        <v>60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60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60</v>
      </c>
    </row>
    <row r="22" spans="1:21" s="7" customFormat="1" ht="54.75" hidden="1" customHeight="1" outlineLevel="1" x14ac:dyDescent="0.2">
      <c r="A22" s="8"/>
      <c r="B22" s="10"/>
      <c r="C22" s="199" t="s">
        <v>21</v>
      </c>
      <c r="D22" s="96" t="s">
        <v>14</v>
      </c>
      <c r="E22" s="10"/>
      <c r="F22" s="24" t="s">
        <v>11</v>
      </c>
      <c r="G22" s="9">
        <v>0</v>
      </c>
      <c r="H22" s="6">
        <v>150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150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150</v>
      </c>
    </row>
    <row r="23" spans="1:21" s="7" customFormat="1" ht="44.25" hidden="1" customHeight="1" outlineLevel="1" x14ac:dyDescent="0.2">
      <c r="A23" s="8"/>
      <c r="B23" s="10"/>
      <c r="C23" s="197" t="s">
        <v>22</v>
      </c>
      <c r="D23" s="93" t="s">
        <v>14</v>
      </c>
      <c r="E23" s="10"/>
      <c r="F23" s="24" t="s">
        <v>11</v>
      </c>
      <c r="G23" s="9">
        <v>0</v>
      </c>
      <c r="H23" s="6">
        <v>150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150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150</v>
      </c>
    </row>
    <row r="24" spans="1:21" s="7" customFormat="1" ht="47.25" customHeight="1" collapsed="1" x14ac:dyDescent="0.2">
      <c r="A24" s="8"/>
      <c r="B24" s="11"/>
      <c r="C24" s="198" t="s">
        <v>23</v>
      </c>
      <c r="D24" s="95" t="s">
        <v>209</v>
      </c>
      <c r="E24" s="10"/>
      <c r="F24" s="24" t="s">
        <v>11</v>
      </c>
      <c r="G24" s="9">
        <v>0</v>
      </c>
      <c r="H24" s="6">
        <v>5500</v>
      </c>
      <c r="I24" s="6">
        <v>42900</v>
      </c>
      <c r="J24" s="6">
        <v>11871.2</v>
      </c>
      <c r="K24" s="6">
        <v>11940.3</v>
      </c>
      <c r="L24" s="6">
        <v>6000</v>
      </c>
      <c r="M24" s="6">
        <v>0</v>
      </c>
      <c r="N24" s="6">
        <f t="shared" si="0"/>
        <v>78211.5</v>
      </c>
      <c r="O24" s="6">
        <v>0</v>
      </c>
      <c r="P24" s="6">
        <v>0</v>
      </c>
      <c r="Q24" s="6">
        <f>5000-5000</f>
        <v>0</v>
      </c>
      <c r="R24" s="6">
        <f>5000-5000</f>
        <v>0</v>
      </c>
      <c r="S24" s="6">
        <v>0</v>
      </c>
      <c r="T24" s="6">
        <v>0</v>
      </c>
      <c r="U24" s="6">
        <f t="shared" si="1"/>
        <v>78211.5</v>
      </c>
    </row>
    <row r="25" spans="1:21" s="7" customFormat="1" ht="49.5" hidden="1" customHeight="1" outlineLevel="1" x14ac:dyDescent="0.2">
      <c r="A25" s="75"/>
      <c r="B25" s="13"/>
      <c r="C25" s="198" t="s">
        <v>24</v>
      </c>
      <c r="D25" s="95" t="s">
        <v>25</v>
      </c>
      <c r="E25" s="18"/>
      <c r="F25" s="24" t="s">
        <v>11</v>
      </c>
      <c r="G25" s="6">
        <v>2000</v>
      </c>
      <c r="H25" s="6">
        <v>2000</v>
      </c>
      <c r="I25" s="6">
        <v>3250</v>
      </c>
      <c r="J25" s="6">
        <v>4600</v>
      </c>
      <c r="K25" s="6">
        <v>4000</v>
      </c>
      <c r="L25" s="6">
        <f>0+397.7</f>
        <v>397.7</v>
      </c>
      <c r="M25" s="6">
        <v>0</v>
      </c>
      <c r="N25" s="6">
        <f t="shared" si="0"/>
        <v>16247.7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f t="shared" si="1"/>
        <v>16247.7</v>
      </c>
    </row>
    <row r="26" spans="1:21" s="7" customFormat="1" ht="47.25" hidden="1" customHeight="1" outlineLevel="1" x14ac:dyDescent="0.2">
      <c r="A26" s="8"/>
      <c r="B26" s="11"/>
      <c r="C26" s="198" t="s">
        <v>26</v>
      </c>
      <c r="D26" s="95" t="s">
        <v>25</v>
      </c>
      <c r="E26" s="10"/>
      <c r="F26" s="24" t="s">
        <v>11</v>
      </c>
      <c r="G26" s="9">
        <v>100</v>
      </c>
      <c r="H26" s="6">
        <v>2000</v>
      </c>
      <c r="I26" s="6">
        <v>3100</v>
      </c>
      <c r="J26" s="6">
        <v>12000</v>
      </c>
      <c r="K26" s="6">
        <v>14573.5</v>
      </c>
      <c r="L26" s="6">
        <f>1017.3</f>
        <v>1017.3</v>
      </c>
      <c r="M26" s="6">
        <v>0</v>
      </c>
      <c r="N26" s="6">
        <f t="shared" si="0"/>
        <v>32790.800000000003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f t="shared" si="1"/>
        <v>32790.800000000003</v>
      </c>
    </row>
    <row r="27" spans="1:21" s="7" customFormat="1" ht="45" hidden="1" customHeight="1" outlineLevel="1" x14ac:dyDescent="0.2">
      <c r="A27" s="8"/>
      <c r="B27" s="11"/>
      <c r="C27" s="198" t="s">
        <v>27</v>
      </c>
      <c r="D27" s="95" t="s">
        <v>25</v>
      </c>
      <c r="E27" s="10"/>
      <c r="F27" s="24" t="s">
        <v>11</v>
      </c>
      <c r="G27" s="6">
        <v>1500</v>
      </c>
      <c r="H27" s="6">
        <v>1680</v>
      </c>
      <c r="I27" s="6">
        <v>1800</v>
      </c>
      <c r="J27" s="6">
        <v>3450</v>
      </c>
      <c r="K27" s="6">
        <v>3000</v>
      </c>
      <c r="L27" s="6">
        <f>0+1500+815.9</f>
        <v>2315.9</v>
      </c>
      <c r="M27" s="6">
        <v>0</v>
      </c>
      <c r="N27" s="6">
        <f t="shared" si="0"/>
        <v>13745.9</v>
      </c>
      <c r="O27" s="6">
        <f>2850.5</f>
        <v>2850.5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f t="shared" si="1"/>
        <v>16596.400000000001</v>
      </c>
    </row>
    <row r="28" spans="1:21" s="7" customFormat="1" ht="66.75" customHeight="1" collapsed="1" x14ac:dyDescent="0.2">
      <c r="A28" s="8"/>
      <c r="B28" s="11"/>
      <c r="C28" s="198" t="s">
        <v>219</v>
      </c>
      <c r="D28" s="95" t="s">
        <v>209</v>
      </c>
      <c r="E28" s="10"/>
      <c r="F28" s="24" t="s">
        <v>11</v>
      </c>
      <c r="G28" s="9">
        <v>0</v>
      </c>
      <c r="H28" s="6">
        <f>5650</f>
        <v>5650</v>
      </c>
      <c r="I28" s="6">
        <v>6800</v>
      </c>
      <c r="J28" s="6">
        <v>8000</v>
      </c>
      <c r="K28" s="6">
        <v>9500</v>
      </c>
      <c r="L28" s="6">
        <v>3500</v>
      </c>
      <c r="M28" s="6">
        <v>3850</v>
      </c>
      <c r="N28" s="6">
        <f t="shared" si="0"/>
        <v>37300</v>
      </c>
      <c r="O28" s="6">
        <f>4235-4235</f>
        <v>0</v>
      </c>
      <c r="P28" s="6">
        <v>0</v>
      </c>
      <c r="Q28" s="6">
        <f>7300-7300</f>
        <v>0</v>
      </c>
      <c r="R28" s="6">
        <f>8000-8000</f>
        <v>0</v>
      </c>
      <c r="S28" s="6">
        <f>8800-8800</f>
        <v>0</v>
      </c>
      <c r="T28" s="6">
        <f>10000-10000</f>
        <v>0</v>
      </c>
      <c r="U28" s="6">
        <f t="shared" si="1"/>
        <v>37300</v>
      </c>
    </row>
    <row r="29" spans="1:21" s="7" customFormat="1" ht="72" hidden="1" customHeight="1" outlineLevel="1" x14ac:dyDescent="0.2">
      <c r="A29" s="10"/>
      <c r="B29" s="11"/>
      <c r="C29" s="198" t="s">
        <v>210</v>
      </c>
      <c r="D29" s="96" t="s">
        <v>25</v>
      </c>
      <c r="E29" s="10"/>
      <c r="F29" s="24" t="s">
        <v>11</v>
      </c>
      <c r="G29" s="9">
        <v>0</v>
      </c>
      <c r="H29" s="6">
        <v>9116.2999999999993</v>
      </c>
      <c r="I29" s="9">
        <v>0</v>
      </c>
      <c r="J29" s="9">
        <v>200</v>
      </c>
      <c r="K29" s="9">
        <v>14000</v>
      </c>
      <c r="L29" s="9">
        <v>9713.6</v>
      </c>
      <c r="M29" s="9">
        <v>0</v>
      </c>
      <c r="N29" s="6">
        <f t="shared" si="0"/>
        <v>33029.9</v>
      </c>
      <c r="O29" s="9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f t="shared" si="1"/>
        <v>33029.9</v>
      </c>
    </row>
    <row r="30" spans="1:21" s="7" customFormat="1" ht="66" customHeight="1" collapsed="1" x14ac:dyDescent="0.2">
      <c r="A30" s="10"/>
      <c r="B30" s="12"/>
      <c r="C30" s="198" t="s">
        <v>266</v>
      </c>
      <c r="D30" s="95" t="s">
        <v>209</v>
      </c>
      <c r="E30" s="10"/>
      <c r="F30" s="24" t="s">
        <v>11</v>
      </c>
      <c r="G30" s="9">
        <v>0</v>
      </c>
      <c r="H30" s="9">
        <v>0</v>
      </c>
      <c r="I30" s="6">
        <v>10000</v>
      </c>
      <c r="J30" s="9">
        <v>0</v>
      </c>
      <c r="K30" s="9">
        <v>0</v>
      </c>
      <c r="L30" s="9">
        <v>16000</v>
      </c>
      <c r="M30" s="9">
        <v>0</v>
      </c>
      <c r="N30" s="6">
        <f t="shared" si="0"/>
        <v>26000</v>
      </c>
      <c r="O30" s="9">
        <v>0</v>
      </c>
      <c r="P30" s="9">
        <v>0</v>
      </c>
      <c r="Q30" s="9">
        <f>40000-40000</f>
        <v>0</v>
      </c>
      <c r="R30" s="9">
        <v>0</v>
      </c>
      <c r="S30" s="9">
        <v>0</v>
      </c>
      <c r="T30" s="9">
        <v>0</v>
      </c>
      <c r="U30" s="6">
        <f t="shared" si="1"/>
        <v>26000</v>
      </c>
    </row>
    <row r="31" spans="1:21" s="7" customFormat="1" ht="71.25" hidden="1" customHeight="1" outlineLevel="1" x14ac:dyDescent="0.2">
      <c r="A31" s="10"/>
      <c r="B31" s="12"/>
      <c r="C31" s="198" t="s">
        <v>28</v>
      </c>
      <c r="D31" s="95" t="s">
        <v>25</v>
      </c>
      <c r="E31" s="10"/>
      <c r="F31" s="24" t="s">
        <v>11</v>
      </c>
      <c r="G31" s="9">
        <v>0</v>
      </c>
      <c r="H31" s="9">
        <v>0</v>
      </c>
      <c r="I31" s="9">
        <v>0</v>
      </c>
      <c r="J31" s="9">
        <v>2425</v>
      </c>
      <c r="K31" s="9">
        <v>1275</v>
      </c>
      <c r="L31" s="9">
        <v>286.39999999999998</v>
      </c>
      <c r="M31" s="9">
        <v>0</v>
      </c>
      <c r="N31" s="6">
        <f t="shared" si="0"/>
        <v>3986.4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6">
        <f t="shared" si="1"/>
        <v>3986.4</v>
      </c>
    </row>
    <row r="32" spans="1:21" s="7" customFormat="1" ht="69" customHeight="1" collapsed="1" x14ac:dyDescent="0.2">
      <c r="A32" s="8"/>
      <c r="B32" s="11"/>
      <c r="C32" s="199" t="s">
        <v>272</v>
      </c>
      <c r="D32" s="96" t="s">
        <v>209</v>
      </c>
      <c r="E32" s="10"/>
      <c r="F32" s="24" t="s">
        <v>11</v>
      </c>
      <c r="G32" s="9">
        <v>0</v>
      </c>
      <c r="H32" s="9">
        <v>0</v>
      </c>
      <c r="I32" s="6">
        <v>10000</v>
      </c>
      <c r="J32" s="9">
        <v>0</v>
      </c>
      <c r="K32" s="9">
        <v>0</v>
      </c>
      <c r="L32" s="9">
        <v>0</v>
      </c>
      <c r="M32" s="9">
        <f>16000-16000</f>
        <v>0</v>
      </c>
      <c r="N32" s="6">
        <f t="shared" si="0"/>
        <v>10000</v>
      </c>
      <c r="O32" s="9">
        <v>0</v>
      </c>
      <c r="P32" s="9">
        <v>0</v>
      </c>
      <c r="Q32" s="9">
        <v>0</v>
      </c>
      <c r="R32" s="9">
        <f>50000-50000</f>
        <v>0</v>
      </c>
      <c r="S32" s="9">
        <v>0</v>
      </c>
      <c r="T32" s="9">
        <v>0</v>
      </c>
      <c r="U32" s="6">
        <f t="shared" si="1"/>
        <v>10000</v>
      </c>
    </row>
    <row r="33" spans="1:21" s="7" customFormat="1" ht="68.25" customHeight="1" x14ac:dyDescent="0.2">
      <c r="A33" s="8"/>
      <c r="B33" s="11"/>
      <c r="C33" s="151" t="s">
        <v>267</v>
      </c>
      <c r="D33" s="93" t="s">
        <v>209</v>
      </c>
      <c r="E33" s="10"/>
      <c r="F33" s="24" t="s">
        <v>11</v>
      </c>
      <c r="G33" s="9">
        <v>0</v>
      </c>
      <c r="H33" s="9">
        <v>0</v>
      </c>
      <c r="I33" s="9">
        <v>0</v>
      </c>
      <c r="J33" s="6">
        <v>8000</v>
      </c>
      <c r="K33" s="9">
        <v>0</v>
      </c>
      <c r="L33" s="9">
        <v>0</v>
      </c>
      <c r="M33" s="9">
        <v>4000</v>
      </c>
      <c r="N33" s="6">
        <f t="shared" si="0"/>
        <v>12000</v>
      </c>
      <c r="O33" s="9">
        <f>18000-18000</f>
        <v>0</v>
      </c>
      <c r="P33" s="9">
        <v>0</v>
      </c>
      <c r="Q33" s="9">
        <v>0</v>
      </c>
      <c r="R33" s="9">
        <v>0</v>
      </c>
      <c r="S33" s="9">
        <v>0</v>
      </c>
      <c r="T33" s="9">
        <f>80000-80000</f>
        <v>0</v>
      </c>
      <c r="U33" s="6">
        <f t="shared" si="1"/>
        <v>12000</v>
      </c>
    </row>
    <row r="34" spans="1:21" s="7" customFormat="1" ht="83.25" customHeight="1" x14ac:dyDescent="0.2">
      <c r="A34" s="10"/>
      <c r="B34" s="11"/>
      <c r="C34" s="111" t="s">
        <v>29</v>
      </c>
      <c r="D34" s="96" t="s">
        <v>25</v>
      </c>
      <c r="E34" s="10"/>
      <c r="F34" s="24" t="s">
        <v>11</v>
      </c>
      <c r="G34" s="9">
        <v>0</v>
      </c>
      <c r="H34" s="9">
        <v>0</v>
      </c>
      <c r="I34" s="9">
        <v>0</v>
      </c>
      <c r="J34" s="9">
        <v>0</v>
      </c>
      <c r="K34" s="6">
        <v>10000</v>
      </c>
      <c r="L34" s="6">
        <v>0</v>
      </c>
      <c r="M34" s="6">
        <v>0</v>
      </c>
      <c r="N34" s="6">
        <f t="shared" si="0"/>
        <v>10000</v>
      </c>
      <c r="O34" s="6">
        <v>16000</v>
      </c>
      <c r="P34" s="6">
        <v>0</v>
      </c>
      <c r="Q34" s="6">
        <v>0</v>
      </c>
      <c r="R34" s="6">
        <v>0</v>
      </c>
      <c r="S34" s="6">
        <f>60000-60000</f>
        <v>0</v>
      </c>
      <c r="T34" s="6">
        <v>0</v>
      </c>
      <c r="U34" s="6">
        <f t="shared" si="1"/>
        <v>26000</v>
      </c>
    </row>
    <row r="35" spans="1:21" s="7" customFormat="1" ht="69.75" customHeight="1" x14ac:dyDescent="0.2">
      <c r="A35" s="70"/>
      <c r="B35" s="82"/>
      <c r="C35" s="109" t="s">
        <v>30</v>
      </c>
      <c r="D35" s="98" t="s">
        <v>209</v>
      </c>
      <c r="E35" s="18"/>
      <c r="F35" s="24" t="s">
        <v>11</v>
      </c>
      <c r="G35" s="9">
        <v>0</v>
      </c>
      <c r="H35" s="6">
        <f>5000-830</f>
        <v>4170</v>
      </c>
      <c r="I35" s="6">
        <v>2000</v>
      </c>
      <c r="J35" s="6">
        <v>2500</v>
      </c>
      <c r="K35" s="6">
        <v>0</v>
      </c>
      <c r="L35" s="6">
        <v>3500</v>
      </c>
      <c r="M35" s="6">
        <v>2000</v>
      </c>
      <c r="N35" s="6">
        <f t="shared" si="0"/>
        <v>14170</v>
      </c>
      <c r="O35" s="6">
        <f>2000-2000</f>
        <v>0</v>
      </c>
      <c r="P35" s="6">
        <v>0</v>
      </c>
      <c r="Q35" s="6">
        <v>0</v>
      </c>
      <c r="R35" s="6">
        <f>5000-5000</f>
        <v>0</v>
      </c>
      <c r="S35" s="6">
        <f>5000-5000</f>
        <v>0</v>
      </c>
      <c r="T35" s="6">
        <f>5000-5000</f>
        <v>0</v>
      </c>
      <c r="U35" s="6">
        <f t="shared" si="1"/>
        <v>14170</v>
      </c>
    </row>
    <row r="36" spans="1:21" s="7" customFormat="1" ht="41.25" hidden="1" customHeight="1" outlineLevel="1" x14ac:dyDescent="0.2">
      <c r="A36" s="122"/>
      <c r="B36" s="26"/>
      <c r="C36" s="112" t="s">
        <v>31</v>
      </c>
      <c r="D36" s="15" t="s">
        <v>25</v>
      </c>
      <c r="E36" s="8"/>
      <c r="F36" s="24" t="s">
        <v>11</v>
      </c>
      <c r="G36" s="6">
        <v>0</v>
      </c>
      <c r="H36" s="9">
        <v>60000</v>
      </c>
      <c r="I36" s="9">
        <v>0</v>
      </c>
      <c r="J36" s="9">
        <v>0</v>
      </c>
      <c r="K36" s="9">
        <v>0</v>
      </c>
      <c r="L36" s="9">
        <f>60000-1000-4500</f>
        <v>54500</v>
      </c>
      <c r="M36" s="9">
        <f>66000</f>
        <v>66000</v>
      </c>
      <c r="N36" s="6">
        <f t="shared" si="0"/>
        <v>180500</v>
      </c>
      <c r="O36" s="9">
        <f>72600-72600</f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180500</v>
      </c>
    </row>
    <row r="37" spans="1:21" s="7" customFormat="1" ht="40.5" hidden="1" outlineLevel="1" x14ac:dyDescent="0.2">
      <c r="A37" s="122"/>
      <c r="B37" s="26"/>
      <c r="C37" s="113" t="s">
        <v>32</v>
      </c>
      <c r="D37" s="95" t="s">
        <v>14</v>
      </c>
      <c r="E37" s="8"/>
      <c r="F37" s="24" t="s">
        <v>11</v>
      </c>
      <c r="G37" s="6">
        <f>30893.1-20000</f>
        <v>10893.099999999999</v>
      </c>
      <c r="H37" s="9">
        <v>0</v>
      </c>
      <c r="I37" s="9">
        <v>33783</v>
      </c>
      <c r="J37" s="9">
        <v>44021.8</v>
      </c>
      <c r="K37" s="9">
        <v>61825.56</v>
      </c>
      <c r="L37" s="9">
        <v>0</v>
      </c>
      <c r="M37" s="9">
        <v>0</v>
      </c>
      <c r="N37" s="6">
        <f t="shared" si="0"/>
        <v>150523.46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6">
        <f t="shared" si="1"/>
        <v>150523.46</v>
      </c>
    </row>
    <row r="38" spans="1:21" s="7" customFormat="1" ht="57" hidden="1" customHeight="1" outlineLevel="1" x14ac:dyDescent="0.2">
      <c r="A38" s="129"/>
      <c r="B38" s="82"/>
      <c r="C38" s="111" t="s">
        <v>33</v>
      </c>
      <c r="D38" s="96" t="s">
        <v>14</v>
      </c>
      <c r="E38" s="75"/>
      <c r="F38" s="24" t="s">
        <v>11</v>
      </c>
      <c r="G38" s="6">
        <v>0</v>
      </c>
      <c r="H38" s="9">
        <v>0</v>
      </c>
      <c r="I38" s="9">
        <v>3000</v>
      </c>
      <c r="J38" s="9">
        <v>2597.8000000000002</v>
      </c>
      <c r="K38" s="9">
        <v>1300</v>
      </c>
      <c r="L38" s="9">
        <v>0</v>
      </c>
      <c r="M38" s="9">
        <v>0</v>
      </c>
      <c r="N38" s="6">
        <f t="shared" si="0"/>
        <v>6897.8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6">
        <f t="shared" si="1"/>
        <v>6897.8</v>
      </c>
    </row>
    <row r="39" spans="1:21" s="7" customFormat="1" ht="38.25" customHeight="1" collapsed="1" x14ac:dyDescent="0.2">
      <c r="A39" s="101"/>
      <c r="B39" s="520"/>
      <c r="C39" s="109" t="s">
        <v>34</v>
      </c>
      <c r="D39" s="141" t="s">
        <v>254</v>
      </c>
      <c r="E39" s="522"/>
      <c r="F39" s="118" t="s">
        <v>11</v>
      </c>
      <c r="G39" s="106">
        <f t="shared" ref="G39:T39" si="2">SUM(G41:G54)</f>
        <v>0</v>
      </c>
      <c r="H39" s="6">
        <f t="shared" si="2"/>
        <v>0</v>
      </c>
      <c r="I39" s="6">
        <f t="shared" si="2"/>
        <v>0</v>
      </c>
      <c r="J39" s="6">
        <f t="shared" si="2"/>
        <v>2300</v>
      </c>
      <c r="K39" s="6">
        <f t="shared" si="2"/>
        <v>0</v>
      </c>
      <c r="L39" s="6">
        <f t="shared" si="2"/>
        <v>15850</v>
      </c>
      <c r="M39" s="6">
        <f t="shared" si="2"/>
        <v>9150</v>
      </c>
      <c r="N39" s="6">
        <f t="shared" si="0"/>
        <v>27300</v>
      </c>
      <c r="O39" s="6">
        <f t="shared" si="2"/>
        <v>19500</v>
      </c>
      <c r="P39" s="6">
        <f t="shared" si="2"/>
        <v>26600</v>
      </c>
      <c r="Q39" s="6">
        <f t="shared" si="2"/>
        <v>0</v>
      </c>
      <c r="R39" s="6">
        <f t="shared" si="2"/>
        <v>0</v>
      </c>
      <c r="S39" s="6">
        <f t="shared" si="2"/>
        <v>0</v>
      </c>
      <c r="T39" s="6">
        <f t="shared" si="2"/>
        <v>0</v>
      </c>
      <c r="U39" s="6">
        <f t="shared" si="1"/>
        <v>73400</v>
      </c>
    </row>
    <row r="40" spans="1:21" s="7" customFormat="1" ht="15.75" customHeight="1" x14ac:dyDescent="0.2">
      <c r="A40" s="8"/>
      <c r="B40" s="439"/>
      <c r="C40" s="109" t="s">
        <v>35</v>
      </c>
      <c r="D40" s="104"/>
      <c r="E40" s="426"/>
      <c r="F40" s="10"/>
      <c r="G40" s="106"/>
      <c r="H40" s="9"/>
      <c r="I40" s="9"/>
      <c r="J40" s="9"/>
      <c r="K40" s="9"/>
      <c r="L40" s="9"/>
      <c r="M40" s="9"/>
      <c r="N40" s="6"/>
      <c r="O40" s="9"/>
      <c r="P40" s="9"/>
      <c r="Q40" s="9"/>
      <c r="R40" s="9"/>
      <c r="S40" s="9"/>
      <c r="T40" s="9"/>
      <c r="U40" s="6"/>
    </row>
    <row r="41" spans="1:21" s="7" customFormat="1" ht="29.25" customHeight="1" x14ac:dyDescent="0.2">
      <c r="A41" s="8"/>
      <c r="B41" s="439"/>
      <c r="C41" s="109" t="s">
        <v>36</v>
      </c>
      <c r="D41" s="104"/>
      <c r="E41" s="426"/>
      <c r="F41" s="10"/>
      <c r="G41" s="105">
        <v>0</v>
      </c>
      <c r="H41" s="16">
        <v>0</v>
      </c>
      <c r="I41" s="16">
        <v>0</v>
      </c>
      <c r="J41" s="16">
        <v>0</v>
      </c>
      <c r="K41" s="16">
        <v>0</v>
      </c>
      <c r="L41" s="17">
        <v>3500</v>
      </c>
      <c r="M41" s="17">
        <f>900-350-350</f>
        <v>200</v>
      </c>
      <c r="N41" s="6">
        <f t="shared" si="0"/>
        <v>3700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6">
        <f t="shared" si="1"/>
        <v>3700</v>
      </c>
    </row>
    <row r="42" spans="1:21" s="7" customFormat="1" ht="19.5" customHeight="1" x14ac:dyDescent="0.2">
      <c r="A42" s="8"/>
      <c r="B42" s="439"/>
      <c r="C42" s="109" t="s">
        <v>37</v>
      </c>
      <c r="D42" s="104"/>
      <c r="E42" s="426"/>
      <c r="F42" s="10"/>
      <c r="G42" s="105">
        <v>0</v>
      </c>
      <c r="H42" s="16">
        <v>0</v>
      </c>
      <c r="I42" s="16">
        <v>0</v>
      </c>
      <c r="J42" s="16">
        <v>2300</v>
      </c>
      <c r="K42" s="16">
        <v>0</v>
      </c>
      <c r="L42" s="17">
        <f>5100-450</f>
        <v>4650</v>
      </c>
      <c r="M42" s="17">
        <v>2800</v>
      </c>
      <c r="N42" s="6">
        <f t="shared" si="0"/>
        <v>9750</v>
      </c>
      <c r="O42" s="17">
        <v>0</v>
      </c>
      <c r="P42" s="17">
        <v>5500</v>
      </c>
      <c r="Q42" s="17">
        <f>5200-5200</f>
        <v>0</v>
      </c>
      <c r="R42" s="17">
        <v>0</v>
      </c>
      <c r="S42" s="17">
        <v>0</v>
      </c>
      <c r="T42" s="17">
        <f>5500-5500</f>
        <v>0</v>
      </c>
      <c r="U42" s="6">
        <f t="shared" si="1"/>
        <v>15250</v>
      </c>
    </row>
    <row r="43" spans="1:21" s="7" customFormat="1" ht="18.75" customHeight="1" x14ac:dyDescent="0.2">
      <c r="A43" s="8"/>
      <c r="B43" s="439"/>
      <c r="C43" s="109" t="s">
        <v>38</v>
      </c>
      <c r="D43" s="104"/>
      <c r="E43" s="426"/>
      <c r="F43" s="10"/>
      <c r="G43" s="105">
        <v>0</v>
      </c>
      <c r="H43" s="16">
        <v>0</v>
      </c>
      <c r="I43" s="16">
        <v>0</v>
      </c>
      <c r="J43" s="16">
        <v>0</v>
      </c>
      <c r="K43" s="16">
        <v>0</v>
      </c>
      <c r="L43" s="17">
        <f>4000+375</f>
        <v>4375</v>
      </c>
      <c r="M43" s="17">
        <v>4300</v>
      </c>
      <c r="N43" s="6">
        <f t="shared" si="0"/>
        <v>8675</v>
      </c>
      <c r="O43" s="17">
        <f>4500+1600</f>
        <v>6100</v>
      </c>
      <c r="P43" s="17">
        <f>7000+500-1260</f>
        <v>6240</v>
      </c>
      <c r="Q43" s="17">
        <f>6500-6500</f>
        <v>0</v>
      </c>
      <c r="R43" s="17">
        <v>0</v>
      </c>
      <c r="S43" s="17">
        <v>0</v>
      </c>
      <c r="T43" s="17">
        <v>0</v>
      </c>
      <c r="U43" s="6">
        <f t="shared" si="1"/>
        <v>21015</v>
      </c>
    </row>
    <row r="44" spans="1:21" s="7" customFormat="1" ht="18" customHeight="1" x14ac:dyDescent="0.2">
      <c r="A44" s="8"/>
      <c r="B44" s="439"/>
      <c r="C44" s="109" t="s">
        <v>39</v>
      </c>
      <c r="D44" s="104"/>
      <c r="E44" s="426"/>
      <c r="F44" s="10"/>
      <c r="G44" s="105">
        <v>0</v>
      </c>
      <c r="H44" s="16">
        <v>0</v>
      </c>
      <c r="I44" s="16">
        <v>0</v>
      </c>
      <c r="J44" s="16">
        <v>0</v>
      </c>
      <c r="K44" s="16">
        <v>0</v>
      </c>
      <c r="L44" s="17">
        <v>0</v>
      </c>
      <c r="M44" s="17">
        <f>850+350</f>
        <v>1200</v>
      </c>
      <c r="N44" s="6">
        <f t="shared" si="0"/>
        <v>1200</v>
      </c>
      <c r="O44" s="17">
        <f>735-735</f>
        <v>0</v>
      </c>
      <c r="P44" s="17">
        <f>1713.6</f>
        <v>1713.6</v>
      </c>
      <c r="Q44" s="17">
        <f>1200-1200</f>
        <v>0</v>
      </c>
      <c r="R44" s="17">
        <f>1300-1300</f>
        <v>0</v>
      </c>
      <c r="S44" s="17">
        <v>0</v>
      </c>
      <c r="T44" s="17">
        <v>0</v>
      </c>
      <c r="U44" s="6">
        <f t="shared" si="1"/>
        <v>2913.6000000000004</v>
      </c>
    </row>
    <row r="45" spans="1:21" s="7" customFormat="1" ht="18" customHeight="1" x14ac:dyDescent="0.2">
      <c r="A45" s="8"/>
      <c r="B45" s="439"/>
      <c r="C45" s="109" t="s">
        <v>40</v>
      </c>
      <c r="D45" s="104"/>
      <c r="E45" s="426"/>
      <c r="F45" s="10"/>
      <c r="G45" s="105">
        <v>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  <c r="M45" s="17">
        <f>300+350</f>
        <v>650</v>
      </c>
      <c r="N45" s="6">
        <f t="shared" si="0"/>
        <v>650</v>
      </c>
      <c r="O45" s="17">
        <v>0</v>
      </c>
      <c r="P45" s="17">
        <v>0</v>
      </c>
      <c r="Q45" s="17">
        <f>250-250</f>
        <v>0</v>
      </c>
      <c r="R45" s="17">
        <f>300-300</f>
        <v>0</v>
      </c>
      <c r="S45" s="17">
        <v>0</v>
      </c>
      <c r="T45" s="17">
        <v>0</v>
      </c>
      <c r="U45" s="6">
        <f t="shared" si="1"/>
        <v>650</v>
      </c>
    </row>
    <row r="46" spans="1:21" s="7" customFormat="1" ht="17.25" customHeight="1" x14ac:dyDescent="0.2">
      <c r="A46" s="8"/>
      <c r="B46" s="439"/>
      <c r="C46" s="109" t="s">
        <v>41</v>
      </c>
      <c r="D46" s="104"/>
      <c r="E46" s="10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2875</v>
      </c>
      <c r="M46" s="17">
        <v>0</v>
      </c>
      <c r="N46" s="6">
        <f t="shared" si="0"/>
        <v>2875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2875</v>
      </c>
    </row>
    <row r="47" spans="1:21" s="7" customFormat="1" ht="21" customHeight="1" x14ac:dyDescent="0.2">
      <c r="A47" s="8"/>
      <c r="B47" s="11"/>
      <c r="C47" s="109" t="s">
        <v>42</v>
      </c>
      <c r="D47" s="104"/>
      <c r="E47" s="10"/>
      <c r="F47" s="10"/>
      <c r="G47" s="105">
        <v>0</v>
      </c>
      <c r="H47" s="16">
        <v>0</v>
      </c>
      <c r="I47" s="16">
        <v>0</v>
      </c>
      <c r="J47" s="16">
        <v>0</v>
      </c>
      <c r="K47" s="16">
        <v>0</v>
      </c>
      <c r="L47" s="17">
        <v>450</v>
      </c>
      <c r="M47" s="16">
        <v>0</v>
      </c>
      <c r="N47" s="6">
        <f t="shared" si="0"/>
        <v>450</v>
      </c>
      <c r="O47" s="16">
        <v>0</v>
      </c>
      <c r="P47" s="16">
        <v>0</v>
      </c>
      <c r="Q47" s="16">
        <f>300-300</f>
        <v>0</v>
      </c>
      <c r="R47" s="16">
        <f>300-300</f>
        <v>0</v>
      </c>
      <c r="S47" s="16">
        <f>300-300</f>
        <v>0</v>
      </c>
      <c r="T47" s="16">
        <v>0</v>
      </c>
      <c r="U47" s="6">
        <f t="shared" si="1"/>
        <v>450</v>
      </c>
    </row>
    <row r="48" spans="1:21" s="7" customFormat="1" ht="30" customHeight="1" x14ac:dyDescent="0.2">
      <c r="A48" s="8"/>
      <c r="B48" s="11"/>
      <c r="C48" s="110" t="s">
        <v>263</v>
      </c>
      <c r="D48" s="23"/>
      <c r="E48" s="10"/>
      <c r="F48" s="10"/>
      <c r="G48" s="107">
        <v>0</v>
      </c>
      <c r="H48" s="20">
        <v>0</v>
      </c>
      <c r="I48" s="20">
        <v>0</v>
      </c>
      <c r="J48" s="20">
        <v>0</v>
      </c>
      <c r="K48" s="20">
        <v>0</v>
      </c>
      <c r="L48" s="21">
        <v>0</v>
      </c>
      <c r="M48" s="20">
        <v>0</v>
      </c>
      <c r="N48" s="6">
        <f t="shared" si="0"/>
        <v>0</v>
      </c>
      <c r="O48" s="20">
        <v>6000</v>
      </c>
      <c r="P48" s="20">
        <f>7500-453.6</f>
        <v>7046.4</v>
      </c>
      <c r="Q48" s="20">
        <v>0</v>
      </c>
      <c r="R48" s="20">
        <v>0</v>
      </c>
      <c r="S48" s="20">
        <v>0</v>
      </c>
      <c r="T48" s="20">
        <v>0</v>
      </c>
      <c r="U48" s="6">
        <f t="shared" si="1"/>
        <v>13046.4</v>
      </c>
    </row>
    <row r="49" spans="1:21" s="7" customFormat="1" ht="28.5" customHeight="1" x14ac:dyDescent="0.2">
      <c r="A49" s="8"/>
      <c r="B49" s="11"/>
      <c r="C49" s="109" t="s">
        <v>43</v>
      </c>
      <c r="D49" s="23"/>
      <c r="E49" s="10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6">
        <v>0</v>
      </c>
      <c r="N49" s="6">
        <f t="shared" si="0"/>
        <v>0</v>
      </c>
      <c r="O49" s="16">
        <v>5200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6">
        <f t="shared" si="1"/>
        <v>5200</v>
      </c>
    </row>
    <row r="50" spans="1:21" s="7" customFormat="1" ht="23.25" customHeight="1" x14ac:dyDescent="0.2">
      <c r="A50" s="8"/>
      <c r="B50" s="11"/>
      <c r="C50" s="109" t="s">
        <v>44</v>
      </c>
      <c r="D50" s="23"/>
      <c r="E50" s="10"/>
      <c r="F50" s="10"/>
      <c r="G50" s="105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6">
        <v>0</v>
      </c>
      <c r="N50" s="6">
        <f t="shared" si="0"/>
        <v>0</v>
      </c>
      <c r="O50" s="16">
        <v>2200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6">
        <f t="shared" si="1"/>
        <v>2200</v>
      </c>
    </row>
    <row r="51" spans="1:21" s="7" customFormat="1" ht="21.75" customHeight="1" x14ac:dyDescent="0.2">
      <c r="A51" s="8"/>
      <c r="B51" s="11"/>
      <c r="C51" s="110" t="s">
        <v>45</v>
      </c>
      <c r="D51" s="23"/>
      <c r="E51" s="10"/>
      <c r="F51" s="19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6">
        <f t="shared" si="0"/>
        <v>0</v>
      </c>
      <c r="O51" s="16">
        <v>0</v>
      </c>
      <c r="P51" s="16">
        <v>0</v>
      </c>
      <c r="Q51" s="16">
        <f>1000-1000</f>
        <v>0</v>
      </c>
      <c r="R51" s="16">
        <v>0</v>
      </c>
      <c r="S51" s="16">
        <v>0</v>
      </c>
      <c r="T51" s="16">
        <v>0</v>
      </c>
      <c r="U51" s="6">
        <f t="shared" si="1"/>
        <v>0</v>
      </c>
    </row>
    <row r="52" spans="1:21" s="7" customFormat="1" ht="21.75" customHeight="1" x14ac:dyDescent="0.2">
      <c r="A52" s="8"/>
      <c r="B52" s="11"/>
      <c r="C52" s="110" t="s">
        <v>46</v>
      </c>
      <c r="D52" s="23"/>
      <c r="E52" s="10"/>
      <c r="F52" s="19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6">
        <f t="shared" si="0"/>
        <v>0</v>
      </c>
      <c r="O52" s="16">
        <v>0</v>
      </c>
      <c r="P52" s="16">
        <v>0</v>
      </c>
      <c r="Q52" s="16">
        <v>0</v>
      </c>
      <c r="R52" s="16">
        <f>7000-7000</f>
        <v>0</v>
      </c>
      <c r="S52" s="16">
        <v>0</v>
      </c>
      <c r="T52" s="16">
        <v>0</v>
      </c>
      <c r="U52" s="6">
        <f t="shared" si="1"/>
        <v>0</v>
      </c>
    </row>
    <row r="53" spans="1:21" s="7" customFormat="1" ht="21.75" customHeight="1" x14ac:dyDescent="0.2">
      <c r="A53" s="8"/>
      <c r="B53" s="11"/>
      <c r="C53" s="110" t="s">
        <v>47</v>
      </c>
      <c r="D53" s="23"/>
      <c r="E53" s="10"/>
      <c r="F53" s="19"/>
      <c r="G53" s="105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6">
        <f t="shared" si="0"/>
        <v>0</v>
      </c>
      <c r="O53" s="16">
        <v>0</v>
      </c>
      <c r="P53" s="16">
        <v>0</v>
      </c>
      <c r="Q53" s="16">
        <f>4800-4800</f>
        <v>0</v>
      </c>
      <c r="R53" s="16">
        <v>0</v>
      </c>
      <c r="S53" s="16">
        <f>5000-5000</f>
        <v>0</v>
      </c>
      <c r="T53" s="16">
        <v>0</v>
      </c>
      <c r="U53" s="6">
        <f t="shared" si="1"/>
        <v>0</v>
      </c>
    </row>
    <row r="54" spans="1:21" s="7" customFormat="1" ht="24.75" customHeight="1" x14ac:dyDescent="0.2">
      <c r="A54" s="8"/>
      <c r="B54" s="11"/>
      <c r="C54" s="110" t="s">
        <v>48</v>
      </c>
      <c r="D54" s="136"/>
      <c r="E54" s="10"/>
      <c r="F54" s="108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6">
        <f t="shared" si="0"/>
        <v>0</v>
      </c>
      <c r="O54" s="16">
        <v>0</v>
      </c>
      <c r="P54" s="16">
        <v>6100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6100</v>
      </c>
    </row>
    <row r="55" spans="1:21" s="7" customFormat="1" ht="48.75" hidden="1" customHeight="1" outlineLevel="1" x14ac:dyDescent="0.2">
      <c r="A55" s="8"/>
      <c r="B55" s="11"/>
      <c r="C55" s="138" t="s">
        <v>49</v>
      </c>
      <c r="D55" s="142" t="s">
        <v>50</v>
      </c>
      <c r="E55" s="10"/>
      <c r="F55" s="24" t="s">
        <v>11</v>
      </c>
      <c r="G55" s="6">
        <v>0</v>
      </c>
      <c r="H55" s="6">
        <v>0</v>
      </c>
      <c r="I55" s="6">
        <v>0</v>
      </c>
      <c r="J55" s="6">
        <v>2000</v>
      </c>
      <c r="K55" s="6">
        <v>1760.9</v>
      </c>
      <c r="L55" s="6">
        <f>2000+2100</f>
        <v>4100</v>
      </c>
      <c r="M55" s="6">
        <f>2500+3000+2149.3</f>
        <v>7649.3</v>
      </c>
      <c r="N55" s="6">
        <f t="shared" si="0"/>
        <v>15510.2</v>
      </c>
      <c r="O55" s="6">
        <f>3000+10000+2000+13790</f>
        <v>28790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f t="shared" si="1"/>
        <v>44300.2</v>
      </c>
    </row>
    <row r="56" spans="1:21" s="7" customFormat="1" ht="53.25" hidden="1" customHeight="1" outlineLevel="1" x14ac:dyDescent="0.2">
      <c r="A56" s="8"/>
      <c r="B56" s="11"/>
      <c r="C56" s="139" t="s">
        <v>51</v>
      </c>
      <c r="D56" s="136" t="s">
        <v>50</v>
      </c>
      <c r="E56" s="10"/>
      <c r="F56" s="24" t="s">
        <v>11</v>
      </c>
      <c r="G56" s="6">
        <v>0</v>
      </c>
      <c r="H56" s="6">
        <v>0</v>
      </c>
      <c r="I56" s="6">
        <v>0</v>
      </c>
      <c r="J56" s="6">
        <v>7900</v>
      </c>
      <c r="K56" s="6">
        <v>6611.6</v>
      </c>
      <c r="L56" s="6">
        <v>10000</v>
      </c>
      <c r="M56" s="6">
        <f>14000-2149.3</f>
        <v>11850.7</v>
      </c>
      <c r="N56" s="6">
        <f t="shared" si="0"/>
        <v>36362.300000000003</v>
      </c>
      <c r="O56" s="6">
        <f>20000-10000</f>
        <v>10000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f t="shared" si="1"/>
        <v>46362.3</v>
      </c>
    </row>
    <row r="57" spans="1:21" s="7" customFormat="1" ht="40.5" hidden="1" customHeight="1" outlineLevel="1" x14ac:dyDescent="0.2">
      <c r="A57" s="8"/>
      <c r="B57" s="11"/>
      <c r="C57" s="138" t="s">
        <v>52</v>
      </c>
      <c r="D57" s="137" t="s">
        <v>50</v>
      </c>
      <c r="E57" s="10"/>
      <c r="F57" s="24" t="s">
        <v>11</v>
      </c>
      <c r="G57" s="6">
        <v>0</v>
      </c>
      <c r="H57" s="6">
        <v>0</v>
      </c>
      <c r="I57" s="6">
        <v>0</v>
      </c>
      <c r="J57" s="6">
        <v>1600</v>
      </c>
      <c r="K57" s="6">
        <v>5500</v>
      </c>
      <c r="L57" s="6">
        <f>7600-3900</f>
        <v>3700</v>
      </c>
      <c r="M57" s="6">
        <f>8360-8360</f>
        <v>0</v>
      </c>
      <c r="N57" s="6">
        <f t="shared" si="0"/>
        <v>10800</v>
      </c>
      <c r="O57" s="6">
        <f>9200-9200</f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f t="shared" si="1"/>
        <v>10800</v>
      </c>
    </row>
    <row r="58" spans="1:21" s="7" customFormat="1" ht="57.75" customHeight="1" collapsed="1" x14ac:dyDescent="0.2">
      <c r="A58" s="8"/>
      <c r="B58" s="11"/>
      <c r="C58" s="140" t="s">
        <v>53</v>
      </c>
      <c r="D58" s="98" t="s">
        <v>50</v>
      </c>
      <c r="E58" s="10"/>
      <c r="F58" s="24" t="s">
        <v>11</v>
      </c>
      <c r="G58" s="6">
        <v>0</v>
      </c>
      <c r="H58" s="9">
        <v>0</v>
      </c>
      <c r="I58" s="9">
        <v>0</v>
      </c>
      <c r="J58" s="9">
        <v>6000</v>
      </c>
      <c r="K58" s="9">
        <v>13000</v>
      </c>
      <c r="L58" s="9">
        <v>1260</v>
      </c>
      <c r="M58" s="9">
        <v>1385</v>
      </c>
      <c r="N58" s="6">
        <f t="shared" si="0"/>
        <v>21645</v>
      </c>
      <c r="O58" s="9">
        <v>1525</v>
      </c>
      <c r="P58" s="9">
        <v>0</v>
      </c>
      <c r="Q58" s="9">
        <f>1300-1300</f>
        <v>0</v>
      </c>
      <c r="R58" s="9">
        <f>1500-1500</f>
        <v>0</v>
      </c>
      <c r="S58" s="9">
        <f>2000-2000</f>
        <v>0</v>
      </c>
      <c r="T58" s="9">
        <f>2500-2500</f>
        <v>0</v>
      </c>
      <c r="U58" s="6">
        <f t="shared" si="1"/>
        <v>23170</v>
      </c>
    </row>
    <row r="59" spans="1:21" s="7" customFormat="1" ht="54.75" hidden="1" customHeight="1" outlineLevel="1" x14ac:dyDescent="0.2">
      <c r="A59" s="423"/>
      <c r="B59" s="11"/>
      <c r="C59" s="140" t="s">
        <v>54</v>
      </c>
      <c r="D59" s="98" t="s">
        <v>50</v>
      </c>
      <c r="E59" s="10"/>
      <c r="F59" s="24" t="s">
        <v>11</v>
      </c>
      <c r="G59" s="6">
        <v>0</v>
      </c>
      <c r="H59" s="9">
        <v>0</v>
      </c>
      <c r="I59" s="9">
        <v>0</v>
      </c>
      <c r="J59" s="9">
        <v>2500</v>
      </c>
      <c r="K59" s="9">
        <v>7500</v>
      </c>
      <c r="L59" s="9">
        <v>1835.7</v>
      </c>
      <c r="M59" s="9">
        <f>8500</f>
        <v>8500</v>
      </c>
      <c r="N59" s="6">
        <f t="shared" si="0"/>
        <v>20335.7</v>
      </c>
      <c r="O59" s="9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f t="shared" si="1"/>
        <v>20335.7</v>
      </c>
    </row>
    <row r="60" spans="1:21" s="7" customFormat="1" ht="71.25" customHeight="1" collapsed="1" x14ac:dyDescent="0.2">
      <c r="A60" s="424"/>
      <c r="B60" s="11"/>
      <c r="C60" s="140" t="s">
        <v>268</v>
      </c>
      <c r="D60" s="98" t="s">
        <v>259</v>
      </c>
      <c r="E60" s="10"/>
      <c r="F60" s="24" t="s">
        <v>11</v>
      </c>
      <c r="G60" s="6">
        <v>0</v>
      </c>
      <c r="H60" s="9">
        <v>0</v>
      </c>
      <c r="I60" s="9">
        <v>0</v>
      </c>
      <c r="J60" s="9">
        <v>0</v>
      </c>
      <c r="K60" s="9">
        <v>1000</v>
      </c>
      <c r="L60" s="9">
        <v>10000</v>
      </c>
      <c r="M60" s="9">
        <f>10000-8500</f>
        <v>1500</v>
      </c>
      <c r="N60" s="6">
        <f t="shared" si="0"/>
        <v>12500</v>
      </c>
      <c r="O60" s="9">
        <v>0</v>
      </c>
      <c r="P60" s="9">
        <v>0</v>
      </c>
      <c r="Q60" s="9">
        <f>1000-1000</f>
        <v>0</v>
      </c>
      <c r="R60" s="9">
        <v>0</v>
      </c>
      <c r="S60" s="9">
        <v>0</v>
      </c>
      <c r="T60" s="9">
        <v>0</v>
      </c>
      <c r="U60" s="6">
        <f t="shared" si="1"/>
        <v>12500</v>
      </c>
    </row>
    <row r="61" spans="1:21" s="7" customFormat="1" ht="46.5" hidden="1" customHeight="1" outlineLevel="1" x14ac:dyDescent="0.2">
      <c r="A61" s="8"/>
      <c r="B61" s="11"/>
      <c r="C61" s="140" t="s">
        <v>55</v>
      </c>
      <c r="D61" s="98" t="s">
        <v>56</v>
      </c>
      <c r="E61" s="10"/>
      <c r="F61" s="24" t="s">
        <v>11</v>
      </c>
      <c r="G61" s="6">
        <v>0</v>
      </c>
      <c r="H61" s="9">
        <v>0</v>
      </c>
      <c r="I61" s="9">
        <v>0</v>
      </c>
      <c r="J61" s="9">
        <v>0</v>
      </c>
      <c r="K61" s="9">
        <v>7950</v>
      </c>
      <c r="L61" s="9">
        <v>0</v>
      </c>
      <c r="M61" s="9">
        <v>0</v>
      </c>
      <c r="N61" s="6">
        <f t="shared" si="0"/>
        <v>7950</v>
      </c>
      <c r="O61" s="9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7950</v>
      </c>
    </row>
    <row r="62" spans="1:21" s="7" customFormat="1" ht="42.75" hidden="1" customHeight="1" outlineLevel="1" x14ac:dyDescent="0.2">
      <c r="A62" s="8"/>
      <c r="B62" s="11"/>
      <c r="C62" s="140" t="s">
        <v>57</v>
      </c>
      <c r="D62" s="98" t="s">
        <v>50</v>
      </c>
      <c r="E62" s="10"/>
      <c r="F62" s="24" t="s">
        <v>11</v>
      </c>
      <c r="G62" s="6">
        <v>0</v>
      </c>
      <c r="H62" s="9">
        <v>0</v>
      </c>
      <c r="I62" s="9">
        <v>0</v>
      </c>
      <c r="J62" s="9">
        <v>0</v>
      </c>
      <c r="K62" s="9">
        <v>1000</v>
      </c>
      <c r="L62" s="9">
        <v>10000</v>
      </c>
      <c r="M62" s="9">
        <f>4000-2250</f>
        <v>1750</v>
      </c>
      <c r="N62" s="6">
        <f t="shared" si="0"/>
        <v>12750</v>
      </c>
      <c r="O62" s="9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12750</v>
      </c>
    </row>
    <row r="63" spans="1:21" s="7" customFormat="1" ht="47.25" hidden="1" customHeight="1" outlineLevel="1" x14ac:dyDescent="0.2">
      <c r="A63" s="8"/>
      <c r="B63" s="11"/>
      <c r="C63" s="139" t="s">
        <v>58</v>
      </c>
      <c r="D63" s="99" t="s">
        <v>59</v>
      </c>
      <c r="E63" s="126"/>
      <c r="F63" s="24" t="s">
        <v>11</v>
      </c>
      <c r="G63" s="6">
        <v>0</v>
      </c>
      <c r="H63" s="9">
        <v>0</v>
      </c>
      <c r="I63" s="9">
        <v>0</v>
      </c>
      <c r="J63" s="9">
        <v>0</v>
      </c>
      <c r="K63" s="9">
        <v>0</v>
      </c>
      <c r="L63" s="9">
        <v>2000</v>
      </c>
      <c r="M63" s="9">
        <v>7000</v>
      </c>
      <c r="N63" s="6">
        <f t="shared" si="0"/>
        <v>9000</v>
      </c>
      <c r="O63" s="9">
        <v>10000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f t="shared" si="1"/>
        <v>19000</v>
      </c>
    </row>
    <row r="64" spans="1:21" s="7" customFormat="1" ht="52.5" customHeight="1" collapsed="1" x14ac:dyDescent="0.2">
      <c r="A64" s="8"/>
      <c r="B64" s="11"/>
      <c r="C64" s="110" t="s">
        <v>60</v>
      </c>
      <c r="D64" s="136" t="s">
        <v>260</v>
      </c>
      <c r="E64" s="126"/>
      <c r="F64" s="24" t="s">
        <v>11</v>
      </c>
      <c r="G64" s="6">
        <v>0</v>
      </c>
      <c r="H64" s="9">
        <v>0</v>
      </c>
      <c r="I64" s="9">
        <v>0</v>
      </c>
      <c r="J64" s="9">
        <v>0</v>
      </c>
      <c r="K64" s="9">
        <v>0</v>
      </c>
      <c r="L64" s="9">
        <v>2000</v>
      </c>
      <c r="M64" s="9">
        <v>2000</v>
      </c>
      <c r="N64" s="6">
        <f t="shared" si="0"/>
        <v>4000</v>
      </c>
      <c r="O64" s="9">
        <v>0</v>
      </c>
      <c r="P64" s="9">
        <v>0</v>
      </c>
      <c r="Q64" s="9">
        <v>0</v>
      </c>
      <c r="R64" s="9">
        <f>5000-5000</f>
        <v>0</v>
      </c>
      <c r="S64" s="9">
        <v>0</v>
      </c>
      <c r="T64" s="9">
        <v>0</v>
      </c>
      <c r="U64" s="6">
        <f t="shared" si="1"/>
        <v>4000</v>
      </c>
    </row>
    <row r="65" spans="1:21" s="7" customFormat="1" ht="71.25" customHeight="1" x14ac:dyDescent="0.2">
      <c r="A65" s="8"/>
      <c r="B65" s="11"/>
      <c r="C65" s="14" t="s">
        <v>62</v>
      </c>
      <c r="D65" s="142" t="s">
        <v>260</v>
      </c>
      <c r="E65" s="126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0</v>
      </c>
      <c r="L65" s="9">
        <v>2000</v>
      </c>
      <c r="M65" s="9">
        <v>2000</v>
      </c>
      <c r="N65" s="6">
        <f t="shared" si="0"/>
        <v>4000</v>
      </c>
      <c r="O65" s="9">
        <v>0</v>
      </c>
      <c r="P65" s="9">
        <v>0</v>
      </c>
      <c r="Q65" s="9">
        <f>4200-4200</f>
        <v>0</v>
      </c>
      <c r="R65" s="9">
        <v>0</v>
      </c>
      <c r="S65" s="9">
        <v>0</v>
      </c>
      <c r="T65" s="9">
        <v>0</v>
      </c>
      <c r="U65" s="6">
        <f t="shared" si="1"/>
        <v>4000</v>
      </c>
    </row>
    <row r="66" spans="1:21" s="7" customFormat="1" ht="44.25" customHeight="1" x14ac:dyDescent="0.2">
      <c r="A66" s="8"/>
      <c r="B66" s="11"/>
      <c r="C66" s="138" t="s">
        <v>63</v>
      </c>
      <c r="D66" s="137" t="s">
        <v>255</v>
      </c>
      <c r="E66" s="126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0</v>
      </c>
      <c r="L66" s="9">
        <f>500+1000</f>
        <v>1500</v>
      </c>
      <c r="M66" s="9">
        <v>1000</v>
      </c>
      <c r="N66" s="6">
        <f t="shared" si="0"/>
        <v>2500</v>
      </c>
      <c r="O66" s="9">
        <v>1500</v>
      </c>
      <c r="P66" s="9">
        <v>2000</v>
      </c>
      <c r="Q66" s="9">
        <f>3000-3000</f>
        <v>0</v>
      </c>
      <c r="R66" s="9">
        <f>8000-8000</f>
        <v>0</v>
      </c>
      <c r="S66" s="9">
        <f>10000-10000</f>
        <v>0</v>
      </c>
      <c r="T66" s="9">
        <f>10000-10000</f>
        <v>0</v>
      </c>
      <c r="U66" s="6">
        <f t="shared" si="1"/>
        <v>6000</v>
      </c>
    </row>
    <row r="67" spans="1:21" s="7" customFormat="1" ht="45.75" customHeight="1" x14ac:dyDescent="0.2">
      <c r="A67" s="8"/>
      <c r="B67" s="421"/>
      <c r="C67" s="140" t="s">
        <v>64</v>
      </c>
      <c r="D67" s="98" t="s">
        <v>260</v>
      </c>
      <c r="E67" s="126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0</v>
      </c>
      <c r="L67" s="9">
        <v>1000</v>
      </c>
      <c r="M67" s="9">
        <v>3000</v>
      </c>
      <c r="N67" s="6">
        <f t="shared" si="0"/>
        <v>4000</v>
      </c>
      <c r="O67" s="9">
        <f>3000-3000</f>
        <v>0</v>
      </c>
      <c r="P67" s="9">
        <v>0</v>
      </c>
      <c r="Q67" s="9">
        <f>1500-1500</f>
        <v>0</v>
      </c>
      <c r="R67" s="9">
        <f>2000-2000</f>
        <v>0</v>
      </c>
      <c r="S67" s="9">
        <v>0</v>
      </c>
      <c r="T67" s="9">
        <v>0</v>
      </c>
      <c r="U67" s="6">
        <f t="shared" si="1"/>
        <v>4000</v>
      </c>
    </row>
    <row r="68" spans="1:21" s="7" customFormat="1" ht="46.5" customHeight="1" x14ac:dyDescent="0.2">
      <c r="A68" s="423"/>
      <c r="B68" s="422"/>
      <c r="C68" s="140" t="s">
        <v>264</v>
      </c>
      <c r="D68" s="98" t="s">
        <v>260</v>
      </c>
      <c r="E68" s="126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6500</v>
      </c>
      <c r="N68" s="6">
        <f t="shared" si="0"/>
        <v>6500</v>
      </c>
      <c r="O68" s="9">
        <v>0</v>
      </c>
      <c r="P68" s="9">
        <v>0</v>
      </c>
      <c r="Q68" s="9">
        <v>0</v>
      </c>
      <c r="R68" s="9">
        <f>5500-5500</f>
        <v>0</v>
      </c>
      <c r="S68" s="9">
        <v>0</v>
      </c>
      <c r="T68" s="9">
        <v>0</v>
      </c>
      <c r="U68" s="6">
        <f t="shared" si="1"/>
        <v>6500</v>
      </c>
    </row>
    <row r="69" spans="1:21" s="7" customFormat="1" ht="45" customHeight="1" x14ac:dyDescent="0.2">
      <c r="A69" s="424"/>
      <c r="B69" s="422"/>
      <c r="C69" s="140" t="s">
        <v>65</v>
      </c>
      <c r="D69" s="98" t="s">
        <v>260</v>
      </c>
      <c r="E69" s="126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f>10000-2100</f>
        <v>7900</v>
      </c>
      <c r="M69" s="9">
        <v>0</v>
      </c>
      <c r="N69" s="6">
        <f t="shared" si="0"/>
        <v>7900</v>
      </c>
      <c r="O69" s="9">
        <v>0</v>
      </c>
      <c r="P69" s="9">
        <v>0</v>
      </c>
      <c r="Q69" s="9">
        <f>300-300</f>
        <v>0</v>
      </c>
      <c r="R69" s="9">
        <f>300-300</f>
        <v>0</v>
      </c>
      <c r="S69" s="9">
        <v>0</v>
      </c>
      <c r="T69" s="9">
        <v>0</v>
      </c>
      <c r="U69" s="6">
        <f t="shared" si="1"/>
        <v>7900</v>
      </c>
    </row>
    <row r="70" spans="1:21" s="7" customFormat="1" ht="44.25" customHeight="1" x14ac:dyDescent="0.2">
      <c r="A70" s="75"/>
      <c r="B70" s="13"/>
      <c r="C70" s="139" t="s">
        <v>213</v>
      </c>
      <c r="D70" s="99" t="s">
        <v>61</v>
      </c>
      <c r="E70" s="127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51559</v>
      </c>
      <c r="M70" s="9">
        <v>50074</v>
      </c>
      <c r="N70" s="6">
        <f t="shared" si="0"/>
        <v>101633</v>
      </c>
      <c r="O70" s="9">
        <v>51535</v>
      </c>
      <c r="P70" s="9">
        <v>63296.71587</v>
      </c>
      <c r="Q70" s="9">
        <f>69180.47911+3210.84737</f>
        <v>72391.326480000003</v>
      </c>
      <c r="R70" s="9">
        <f>62949.17669+9104.43512</f>
        <v>72053.611810000002</v>
      </c>
      <c r="S70" s="9">
        <f>59681.44191+8050.71317</f>
        <v>67732.155079999997</v>
      </c>
      <c r="T70" s="9">
        <v>56045.670409999999</v>
      </c>
      <c r="U70" s="6">
        <f t="shared" si="1"/>
        <v>484687.47965000011</v>
      </c>
    </row>
    <row r="71" spans="1:21" s="7" customFormat="1" ht="57" customHeight="1" x14ac:dyDescent="0.2">
      <c r="A71" s="196"/>
      <c r="B71" s="200"/>
      <c r="C71" s="14" t="s">
        <v>66</v>
      </c>
      <c r="D71" s="135" t="s">
        <v>61</v>
      </c>
      <c r="E71" s="203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307183.1-2334.6</f>
        <v>304848.5</v>
      </c>
      <c r="M71" s="6">
        <f>361442.2-1000</f>
        <v>360442.2</v>
      </c>
      <c r="N71" s="6">
        <f t="shared" si="0"/>
        <v>665290.69999999995</v>
      </c>
      <c r="O71" s="6">
        <v>449833.8</v>
      </c>
      <c r="P71" s="6">
        <v>550038.13575999998</v>
      </c>
      <c r="Q71" s="6">
        <f>575145.27782-103285.28</f>
        <v>471859.99781999993</v>
      </c>
      <c r="R71" s="6">
        <f>618980.48228-102360.48</f>
        <v>516620.00228000002</v>
      </c>
      <c r="S71" s="6">
        <f>666502.23373-135402.23</f>
        <v>531100.00373</v>
      </c>
      <c r="T71" s="6">
        <f>720843.0943-136633.09</f>
        <v>584210.00430000003</v>
      </c>
      <c r="U71" s="6">
        <f t="shared" si="1"/>
        <v>3768952.6438899999</v>
      </c>
    </row>
    <row r="72" spans="1:21" s="7" customFormat="1" ht="41.25" customHeight="1" x14ac:dyDescent="0.2">
      <c r="A72" s="8"/>
      <c r="B72" s="11"/>
      <c r="C72" s="216" t="s">
        <v>67</v>
      </c>
      <c r="D72" s="93" t="s">
        <v>255</v>
      </c>
      <c r="E72" s="124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27">
        <v>2250</v>
      </c>
      <c r="N72" s="214">
        <f t="shared" si="0"/>
        <v>2250</v>
      </c>
      <c r="O72" s="215">
        <v>0</v>
      </c>
      <c r="P72" s="215">
        <v>3700</v>
      </c>
      <c r="Q72" s="215">
        <f>1500-1500</f>
        <v>0</v>
      </c>
      <c r="R72" s="215">
        <v>0</v>
      </c>
      <c r="S72" s="215">
        <v>0</v>
      </c>
      <c r="T72" s="215">
        <v>0</v>
      </c>
      <c r="U72" s="214">
        <f t="shared" si="1"/>
        <v>5950</v>
      </c>
    </row>
    <row r="73" spans="1:21" s="7" customFormat="1" ht="45.75" customHeight="1" x14ac:dyDescent="0.2">
      <c r="A73" s="8"/>
      <c r="B73" s="11"/>
      <c r="C73" s="113" t="s">
        <v>68</v>
      </c>
      <c r="D73" s="95" t="s">
        <v>69</v>
      </c>
      <c r="E73" s="124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6">
        <f>72927.1+5360+16000</f>
        <v>94287.1</v>
      </c>
      <c r="N73" s="6">
        <f t="shared" si="0"/>
        <v>94287.1</v>
      </c>
      <c r="O73" s="6">
        <f>87444.4+18000+9200+4235-2850.5+3000</f>
        <v>119028.9</v>
      </c>
      <c r="P73" s="6">
        <v>241085.13451</v>
      </c>
      <c r="Q73" s="6">
        <f>305345.93681-169945.94</f>
        <v>135399.99680999998</v>
      </c>
      <c r="R73" s="6">
        <f>394183.52027-241853.52</f>
        <v>152330.00026999999</v>
      </c>
      <c r="S73" s="6">
        <f>496402.59255-339402.59</f>
        <v>157000.00254999998</v>
      </c>
      <c r="T73" s="6">
        <f>612403.79011-439703.79</f>
        <v>172700.00010999996</v>
      </c>
      <c r="U73" s="6">
        <f t="shared" si="1"/>
        <v>1071831.1342499999</v>
      </c>
    </row>
    <row r="74" spans="1:21" s="7" customFormat="1" ht="44.25" hidden="1" customHeight="1" outlineLevel="1" x14ac:dyDescent="0.2">
      <c r="A74" s="8"/>
      <c r="B74" s="11"/>
      <c r="C74" s="113" t="s">
        <v>70</v>
      </c>
      <c r="D74" s="95" t="s">
        <v>69</v>
      </c>
      <c r="E74" s="124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6">
        <v>1000</v>
      </c>
      <c r="N74" s="6">
        <f t="shared" si="0"/>
        <v>1000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f t="shared" si="1"/>
        <v>1000</v>
      </c>
    </row>
    <row r="75" spans="1:21" s="7" customFormat="1" ht="40.5" customHeight="1" collapsed="1" x14ac:dyDescent="0.2">
      <c r="A75" s="8"/>
      <c r="B75" s="11"/>
      <c r="C75" s="111" t="s">
        <v>265</v>
      </c>
      <c r="D75" s="96" t="s">
        <v>71</v>
      </c>
      <c r="E75" s="124"/>
      <c r="F75" s="24" t="s">
        <v>11</v>
      </c>
      <c r="G75" s="6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6">
        <v>0</v>
      </c>
      <c r="N75" s="6">
        <f t="shared" si="0"/>
        <v>0</v>
      </c>
      <c r="O75" s="6">
        <f>150000-25055</f>
        <v>124945</v>
      </c>
      <c r="P75" s="6">
        <v>140000</v>
      </c>
      <c r="Q75" s="6">
        <f>150000-100000</f>
        <v>50000</v>
      </c>
      <c r="R75" s="6">
        <f>170000-100000</f>
        <v>70000</v>
      </c>
      <c r="S75" s="6">
        <f>185000-100000</f>
        <v>85000</v>
      </c>
      <c r="T75" s="6">
        <f>200000-100000</f>
        <v>100000</v>
      </c>
      <c r="U75" s="6">
        <f t="shared" si="1"/>
        <v>569945</v>
      </c>
    </row>
    <row r="76" spans="1:21" s="7" customFormat="1" ht="44.25" customHeight="1" x14ac:dyDescent="0.2">
      <c r="A76" s="8"/>
      <c r="B76" s="11"/>
      <c r="C76" s="28" t="s">
        <v>72</v>
      </c>
      <c r="D76" s="29" t="s">
        <v>73</v>
      </c>
      <c r="E76" s="125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6">
        <v>0</v>
      </c>
      <c r="N76" s="6">
        <f t="shared" si="0"/>
        <v>0</v>
      </c>
      <c r="O76" s="6">
        <v>0</v>
      </c>
      <c r="P76" s="6">
        <v>0</v>
      </c>
      <c r="Q76" s="6">
        <f>132000-77000</f>
        <v>55000</v>
      </c>
      <c r="R76" s="6">
        <f>140000-80000</f>
        <v>60000</v>
      </c>
      <c r="S76" s="6">
        <f>110000-10000</f>
        <v>100000</v>
      </c>
      <c r="T76" s="6">
        <f>125000-5000</f>
        <v>120000</v>
      </c>
      <c r="U76" s="6">
        <f t="shared" si="1"/>
        <v>335000</v>
      </c>
    </row>
    <row r="77" spans="1:21" s="7" customFormat="1" ht="38.25" customHeight="1" x14ac:dyDescent="0.2">
      <c r="A77" s="8"/>
      <c r="B77" s="11"/>
      <c r="C77" s="114" t="s">
        <v>74</v>
      </c>
      <c r="D77" s="15">
        <v>2024</v>
      </c>
      <c r="E77" s="125"/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6">
        <v>0</v>
      </c>
      <c r="N77" s="6">
        <f t="shared" ref="N77:N141" si="3">G77+H77+I77+J77+K77+L77+M77</f>
        <v>0</v>
      </c>
      <c r="O77" s="6">
        <v>0</v>
      </c>
      <c r="P77" s="6">
        <v>2000</v>
      </c>
      <c r="Q77" s="6">
        <f>3000-3000</f>
        <v>0</v>
      </c>
      <c r="R77" s="6">
        <v>0</v>
      </c>
      <c r="S77" s="6">
        <v>0</v>
      </c>
      <c r="T77" s="6">
        <v>0</v>
      </c>
      <c r="U77" s="6">
        <f t="shared" ref="U77:U79" si="4">SUM(G77:T77)-N77</f>
        <v>2000</v>
      </c>
    </row>
    <row r="78" spans="1:21" s="7" customFormat="1" ht="46.5" customHeight="1" x14ac:dyDescent="0.2">
      <c r="A78" s="8"/>
      <c r="B78" s="11"/>
      <c r="C78" s="114" t="s">
        <v>269</v>
      </c>
      <c r="D78" s="147">
        <v>2024</v>
      </c>
      <c r="E78" s="125"/>
      <c r="F78" s="24" t="s">
        <v>11</v>
      </c>
      <c r="G78" s="6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6">
        <v>0</v>
      </c>
      <c r="N78" s="6">
        <f t="shared" si="3"/>
        <v>0</v>
      </c>
      <c r="O78" s="6">
        <v>0</v>
      </c>
      <c r="P78" s="6">
        <v>15000</v>
      </c>
      <c r="Q78" s="6">
        <f>2000-2000</f>
        <v>0</v>
      </c>
      <c r="R78" s="6">
        <v>0</v>
      </c>
      <c r="S78" s="6">
        <v>0</v>
      </c>
      <c r="T78" s="6">
        <v>0</v>
      </c>
      <c r="U78" s="6">
        <f t="shared" si="4"/>
        <v>15000</v>
      </c>
    </row>
    <row r="79" spans="1:21" s="7" customFormat="1" ht="46.5" customHeight="1" x14ac:dyDescent="0.2">
      <c r="A79" s="75"/>
      <c r="B79" s="148"/>
      <c r="C79" s="14" t="s">
        <v>253</v>
      </c>
      <c r="D79" s="149" t="s">
        <v>250</v>
      </c>
      <c r="E79" s="150"/>
      <c r="F79" s="24" t="s">
        <v>11</v>
      </c>
      <c r="G79" s="6"/>
      <c r="H79" s="9"/>
      <c r="I79" s="9"/>
      <c r="J79" s="9"/>
      <c r="K79" s="9"/>
      <c r="L79" s="9"/>
      <c r="M79" s="6"/>
      <c r="N79" s="6">
        <f t="shared" si="3"/>
        <v>0</v>
      </c>
      <c r="O79" s="6">
        <v>0</v>
      </c>
      <c r="P79" s="6">
        <v>0</v>
      </c>
      <c r="Q79" s="6">
        <f>19250-5950</f>
        <v>13300</v>
      </c>
      <c r="R79" s="6">
        <f>8900</f>
        <v>8900</v>
      </c>
      <c r="S79" s="6">
        <f>5300</f>
        <v>5300</v>
      </c>
      <c r="T79" s="6">
        <f>5500</f>
        <v>5500</v>
      </c>
      <c r="U79" s="6">
        <f t="shared" si="4"/>
        <v>33000</v>
      </c>
    </row>
    <row r="80" spans="1:21" s="7" customFormat="1" ht="41.25" customHeight="1" x14ac:dyDescent="0.2">
      <c r="A80" s="469" t="s">
        <v>75</v>
      </c>
      <c r="B80" s="482"/>
      <c r="C80" s="134"/>
      <c r="D80" s="144"/>
      <c r="E80" s="145"/>
      <c r="F80" s="108" t="s">
        <v>11</v>
      </c>
      <c r="G80" s="146">
        <f t="shared" ref="G80:L80" si="5">SUM(G12:G78)-G39</f>
        <v>115838.47999999998</v>
      </c>
      <c r="H80" s="146">
        <f t="shared" si="5"/>
        <v>214504.09999999998</v>
      </c>
      <c r="I80" s="146">
        <f t="shared" si="5"/>
        <v>240425.5</v>
      </c>
      <c r="J80" s="146">
        <f t="shared" si="5"/>
        <v>295414.2</v>
      </c>
      <c r="K80" s="146">
        <f t="shared" si="5"/>
        <v>449477.26</v>
      </c>
      <c r="L80" s="146">
        <f t="shared" si="5"/>
        <v>628078.5</v>
      </c>
      <c r="M80" s="146">
        <f>SUM(M12:M78)-M39</f>
        <v>664788.29999999993</v>
      </c>
      <c r="N80" s="146">
        <f t="shared" ref="N80:U80" si="6">SUM(N12:N79)-N39</f>
        <v>2608526.3399999994</v>
      </c>
      <c r="O80" s="146">
        <f t="shared" si="6"/>
        <v>854868.20000000007</v>
      </c>
      <c r="P80" s="146">
        <f t="shared" si="6"/>
        <v>1049319.9861399999</v>
      </c>
      <c r="Q80" s="146">
        <f t="shared" si="6"/>
        <v>797951.3211099999</v>
      </c>
      <c r="R80" s="146">
        <f t="shared" si="6"/>
        <v>879903.61436000001</v>
      </c>
      <c r="S80" s="146">
        <f t="shared" si="6"/>
        <v>946132.16135999991</v>
      </c>
      <c r="T80" s="146">
        <f t="shared" si="6"/>
        <v>1038455.6748200001</v>
      </c>
      <c r="U80" s="146">
        <f t="shared" si="6"/>
        <v>8175157.2977900002</v>
      </c>
    </row>
    <row r="81" spans="1:21" s="7" customFormat="1" ht="45" hidden="1" customHeight="1" outlineLevel="1" x14ac:dyDescent="0.2">
      <c r="A81" s="124">
        <v>2</v>
      </c>
      <c r="B81" s="181" t="s">
        <v>76</v>
      </c>
      <c r="C81" s="117" t="s">
        <v>77</v>
      </c>
      <c r="D81" s="93" t="s">
        <v>10</v>
      </c>
      <c r="E81" s="484" t="s">
        <v>78</v>
      </c>
      <c r="F81" s="24" t="s">
        <v>11</v>
      </c>
      <c r="G81" s="6">
        <v>134514.32</v>
      </c>
      <c r="H81" s="6">
        <f>146683.2+8661.9</f>
        <v>155345.1</v>
      </c>
      <c r="I81" s="6">
        <v>209068.1</v>
      </c>
      <c r="J81" s="6">
        <v>224749.2</v>
      </c>
      <c r="K81" s="6">
        <v>310495.3</v>
      </c>
      <c r="L81" s="6">
        <f>24514+5642.2</f>
        <v>30156.2</v>
      </c>
      <c r="M81" s="6">
        <v>0</v>
      </c>
      <c r="N81" s="6">
        <f t="shared" si="3"/>
        <v>1064328.22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f>SUM(G81:T81)-N81</f>
        <v>1064328.22</v>
      </c>
    </row>
    <row r="82" spans="1:21" s="7" customFormat="1" ht="48.75" hidden="1" customHeight="1" outlineLevel="1" x14ac:dyDescent="0.2">
      <c r="A82" s="124"/>
      <c r="B82" s="123"/>
      <c r="C82" s="115" t="s">
        <v>79</v>
      </c>
      <c r="D82" s="97" t="s">
        <v>25</v>
      </c>
      <c r="E82" s="484"/>
      <c r="F82" s="118" t="s">
        <v>11</v>
      </c>
      <c r="G82" s="143">
        <v>3000</v>
      </c>
      <c r="H82" s="143">
        <v>12000</v>
      </c>
      <c r="I82" s="143">
        <v>3745</v>
      </c>
      <c r="J82" s="143">
        <v>8100</v>
      </c>
      <c r="K82" s="143">
        <v>9720</v>
      </c>
      <c r="L82" s="143">
        <f>0+979.5</f>
        <v>979.5</v>
      </c>
      <c r="M82" s="143">
        <v>0</v>
      </c>
      <c r="N82" s="143">
        <f t="shared" si="3"/>
        <v>37544.5</v>
      </c>
      <c r="O82" s="143">
        <v>0</v>
      </c>
      <c r="P82" s="143">
        <v>0</v>
      </c>
      <c r="Q82" s="143">
        <v>0</v>
      </c>
      <c r="R82" s="143">
        <v>0</v>
      </c>
      <c r="S82" s="143">
        <v>0</v>
      </c>
      <c r="T82" s="143">
        <v>0</v>
      </c>
      <c r="U82" s="143">
        <f t="shared" ref="U82:U145" si="7">SUM(G82:T82)-N82</f>
        <v>37544.5</v>
      </c>
    </row>
    <row r="83" spans="1:21" s="91" customFormat="1" ht="44.25" customHeight="1" collapsed="1" x14ac:dyDescent="0.2">
      <c r="A83" s="101">
        <v>2</v>
      </c>
      <c r="B83" s="519" t="s">
        <v>76</v>
      </c>
      <c r="C83" s="152" t="s">
        <v>257</v>
      </c>
      <c r="D83" s="94" t="s">
        <v>252</v>
      </c>
      <c r="E83" s="521" t="s">
        <v>270</v>
      </c>
      <c r="F83" s="24" t="s">
        <v>11</v>
      </c>
      <c r="G83" s="9">
        <v>0</v>
      </c>
      <c r="H83" s="6">
        <f>498.2+2700</f>
        <v>3198.2</v>
      </c>
      <c r="I83" s="6">
        <v>0</v>
      </c>
      <c r="J83" s="6">
        <v>2200</v>
      </c>
      <c r="K83" s="6">
        <v>5500</v>
      </c>
      <c r="L83" s="6">
        <v>0</v>
      </c>
      <c r="M83" s="6">
        <v>0</v>
      </c>
      <c r="N83" s="6">
        <f t="shared" si="3"/>
        <v>10898.2</v>
      </c>
      <c r="O83" s="6">
        <v>0</v>
      </c>
      <c r="P83" s="6">
        <v>0</v>
      </c>
      <c r="Q83" s="6">
        <v>239.8</v>
      </c>
      <c r="R83" s="6">
        <v>0</v>
      </c>
      <c r="S83" s="6">
        <v>0</v>
      </c>
      <c r="T83" s="6">
        <v>0</v>
      </c>
      <c r="U83" s="6">
        <f t="shared" si="7"/>
        <v>11138</v>
      </c>
    </row>
    <row r="84" spans="1:21" s="7" customFormat="1" ht="45.75" hidden="1" customHeight="1" outlineLevel="1" x14ac:dyDescent="0.2">
      <c r="A84" s="124"/>
      <c r="B84" s="439"/>
      <c r="C84" s="153" t="s">
        <v>80</v>
      </c>
      <c r="D84" s="93" t="s">
        <v>25</v>
      </c>
      <c r="E84" s="426"/>
      <c r="F84" s="24" t="s">
        <v>11</v>
      </c>
      <c r="G84" s="6">
        <v>909</v>
      </c>
      <c r="H84" s="6">
        <v>1500</v>
      </c>
      <c r="I84" s="6">
        <v>1700</v>
      </c>
      <c r="J84" s="6">
        <v>1354.7</v>
      </c>
      <c r="K84" s="6">
        <v>1339.3</v>
      </c>
      <c r="L84" s="6">
        <f>0+564</f>
        <v>564</v>
      </c>
      <c r="M84" s="6">
        <v>0</v>
      </c>
      <c r="N84" s="6">
        <f t="shared" si="3"/>
        <v>7367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f t="shared" si="7"/>
        <v>7367</v>
      </c>
    </row>
    <row r="85" spans="1:21" s="7" customFormat="1" ht="57.75" hidden="1" customHeight="1" outlineLevel="1" x14ac:dyDescent="0.2">
      <c r="A85" s="124"/>
      <c r="B85" s="439"/>
      <c r="C85" s="153" t="s">
        <v>81</v>
      </c>
      <c r="D85" s="95" t="s">
        <v>25</v>
      </c>
      <c r="E85" s="426"/>
      <c r="F85" s="24" t="s">
        <v>11</v>
      </c>
      <c r="G85" s="9">
        <v>0</v>
      </c>
      <c r="H85" s="9">
        <v>0</v>
      </c>
      <c r="I85" s="9">
        <v>0</v>
      </c>
      <c r="J85" s="6">
        <v>12867</v>
      </c>
      <c r="K85" s="9">
        <v>0</v>
      </c>
      <c r="L85" s="9">
        <v>0</v>
      </c>
      <c r="M85" s="9">
        <v>16000</v>
      </c>
      <c r="N85" s="6">
        <f t="shared" si="3"/>
        <v>28867</v>
      </c>
      <c r="O85" s="9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f t="shared" si="7"/>
        <v>28867</v>
      </c>
    </row>
    <row r="86" spans="1:21" s="7" customFormat="1" ht="46.5" hidden="1" customHeight="1" outlineLevel="1" x14ac:dyDescent="0.2">
      <c r="A86" s="92"/>
      <c r="B86" s="439"/>
      <c r="C86" s="153" t="s">
        <v>82</v>
      </c>
      <c r="D86" s="95" t="s">
        <v>25</v>
      </c>
      <c r="E86" s="426"/>
      <c r="F86" s="24" t="s">
        <v>11</v>
      </c>
      <c r="G86" s="9">
        <v>0</v>
      </c>
      <c r="H86" s="6">
        <v>16000</v>
      </c>
      <c r="I86" s="9">
        <v>0</v>
      </c>
      <c r="J86" s="9">
        <v>0</v>
      </c>
      <c r="K86" s="9">
        <v>7218</v>
      </c>
      <c r="L86" s="9">
        <v>20000</v>
      </c>
      <c r="M86" s="9">
        <v>0</v>
      </c>
      <c r="N86" s="6">
        <f t="shared" si="3"/>
        <v>43218</v>
      </c>
      <c r="O86" s="9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 t="shared" si="7"/>
        <v>43218</v>
      </c>
    </row>
    <row r="87" spans="1:21" s="7" customFormat="1" ht="81.75" hidden="1" customHeight="1" outlineLevel="1" x14ac:dyDescent="0.2">
      <c r="A87" s="124"/>
      <c r="B87" s="439"/>
      <c r="C87" s="153" t="s">
        <v>215</v>
      </c>
      <c r="D87" s="95" t="s">
        <v>25</v>
      </c>
      <c r="E87" s="426"/>
      <c r="F87" s="24" t="s">
        <v>11</v>
      </c>
      <c r="G87" s="9">
        <v>0</v>
      </c>
      <c r="H87" s="6">
        <v>6000</v>
      </c>
      <c r="I87" s="9">
        <v>0</v>
      </c>
      <c r="J87" s="9">
        <v>8000</v>
      </c>
      <c r="K87" s="9">
        <v>0</v>
      </c>
      <c r="L87" s="9">
        <v>7042</v>
      </c>
      <c r="M87" s="9">
        <v>0</v>
      </c>
      <c r="N87" s="6">
        <f t="shared" si="3"/>
        <v>21042</v>
      </c>
      <c r="O87" s="9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f t="shared" si="7"/>
        <v>21042</v>
      </c>
    </row>
    <row r="88" spans="1:21" s="7" customFormat="1" ht="42" hidden="1" customHeight="1" outlineLevel="1" x14ac:dyDescent="0.2">
      <c r="A88" s="124"/>
      <c r="B88" s="439"/>
      <c r="C88" s="153" t="s">
        <v>83</v>
      </c>
      <c r="D88" s="96" t="s">
        <v>14</v>
      </c>
      <c r="E88" s="426"/>
      <c r="F88" s="24" t="s">
        <v>11</v>
      </c>
      <c r="G88" s="9">
        <v>0</v>
      </c>
      <c r="H88" s="6">
        <v>143</v>
      </c>
      <c r="I88" s="6">
        <v>195</v>
      </c>
      <c r="J88" s="6">
        <v>105</v>
      </c>
      <c r="K88" s="6">
        <v>105</v>
      </c>
      <c r="L88" s="6">
        <v>0</v>
      </c>
      <c r="M88" s="6">
        <v>0</v>
      </c>
      <c r="N88" s="6">
        <f t="shared" si="3"/>
        <v>548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f t="shared" si="7"/>
        <v>548</v>
      </c>
    </row>
    <row r="89" spans="1:21" s="7" customFormat="1" ht="48.75" hidden="1" customHeight="1" outlineLevel="1" x14ac:dyDescent="0.2">
      <c r="A89" s="124"/>
      <c r="B89" s="439"/>
      <c r="C89" s="153" t="s">
        <v>84</v>
      </c>
      <c r="D89" s="95" t="s">
        <v>14</v>
      </c>
      <c r="E89" s="426"/>
      <c r="F89" s="24" t="s">
        <v>11</v>
      </c>
      <c r="G89" s="9">
        <v>0</v>
      </c>
      <c r="H89" s="6">
        <v>1530.8</v>
      </c>
      <c r="I89" s="6">
        <v>490</v>
      </c>
      <c r="J89" s="6">
        <v>890</v>
      </c>
      <c r="K89" s="6">
        <v>0</v>
      </c>
      <c r="L89" s="6">
        <v>0</v>
      </c>
      <c r="M89" s="6">
        <v>0</v>
      </c>
      <c r="N89" s="6">
        <f t="shared" si="3"/>
        <v>2910.8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f t="shared" si="7"/>
        <v>2910.8</v>
      </c>
    </row>
    <row r="90" spans="1:21" s="7" customFormat="1" ht="44.25" hidden="1" customHeight="1" outlineLevel="1" x14ac:dyDescent="0.2">
      <c r="A90" s="124"/>
      <c r="B90" s="439"/>
      <c r="C90" s="153" t="s">
        <v>85</v>
      </c>
      <c r="D90" s="95" t="s">
        <v>25</v>
      </c>
      <c r="E90" s="426"/>
      <c r="F90" s="24" t="s">
        <v>11</v>
      </c>
      <c r="G90" s="9">
        <v>0</v>
      </c>
      <c r="H90" s="6">
        <v>8085</v>
      </c>
      <c r="I90" s="6">
        <v>290.89999999999998</v>
      </c>
      <c r="J90" s="6">
        <v>7367</v>
      </c>
      <c r="K90" s="6">
        <v>8499.5</v>
      </c>
      <c r="L90" s="6">
        <v>62100</v>
      </c>
      <c r="M90" s="6">
        <v>66000</v>
      </c>
      <c r="N90" s="6">
        <f t="shared" si="3"/>
        <v>152342.39999999999</v>
      </c>
      <c r="O90" s="6">
        <v>72600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f t="shared" si="7"/>
        <v>224942.4</v>
      </c>
    </row>
    <row r="91" spans="1:21" s="7" customFormat="1" ht="43.5" hidden="1" customHeight="1" outlineLevel="1" x14ac:dyDescent="0.2">
      <c r="A91" s="124"/>
      <c r="B91" s="439"/>
      <c r="C91" s="154" t="s">
        <v>86</v>
      </c>
      <c r="D91" s="96" t="s">
        <v>14</v>
      </c>
      <c r="E91" s="426"/>
      <c r="F91" s="24" t="s">
        <v>11</v>
      </c>
      <c r="G91" s="9">
        <v>0</v>
      </c>
      <c r="H91" s="6">
        <f>552+228</f>
        <v>780</v>
      </c>
      <c r="I91" s="6">
        <f>1936+2784</f>
        <v>4720</v>
      </c>
      <c r="J91" s="6">
        <f>1936+2784</f>
        <v>4720</v>
      </c>
      <c r="K91" s="6">
        <v>4720</v>
      </c>
      <c r="L91" s="6">
        <v>0</v>
      </c>
      <c r="M91" s="6">
        <v>0</v>
      </c>
      <c r="N91" s="6">
        <f t="shared" si="3"/>
        <v>14940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f t="shared" si="7"/>
        <v>14940</v>
      </c>
    </row>
    <row r="92" spans="1:21" s="7" customFormat="1" ht="42" hidden="1" customHeight="1" outlineLevel="1" x14ac:dyDescent="0.2">
      <c r="A92" s="124"/>
      <c r="B92" s="439"/>
      <c r="C92" s="155" t="s">
        <v>87</v>
      </c>
      <c r="D92" s="93" t="s">
        <v>14</v>
      </c>
      <c r="E92" s="426"/>
      <c r="F92" s="24" t="s">
        <v>11</v>
      </c>
      <c r="G92" s="9">
        <v>0</v>
      </c>
      <c r="H92" s="6">
        <v>176</v>
      </c>
      <c r="I92" s="6">
        <v>500</v>
      </c>
      <c r="J92" s="6">
        <v>0</v>
      </c>
      <c r="K92" s="6">
        <v>0</v>
      </c>
      <c r="L92" s="6">
        <v>0</v>
      </c>
      <c r="M92" s="6">
        <v>0</v>
      </c>
      <c r="N92" s="6">
        <f t="shared" si="3"/>
        <v>676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f t="shared" si="7"/>
        <v>676</v>
      </c>
    </row>
    <row r="93" spans="1:21" s="7" customFormat="1" ht="72" hidden="1" customHeight="1" outlineLevel="1" x14ac:dyDescent="0.2">
      <c r="A93" s="124"/>
      <c r="B93" s="439"/>
      <c r="C93" s="153" t="s">
        <v>193</v>
      </c>
      <c r="D93" s="95">
        <v>2019</v>
      </c>
      <c r="E93" s="426"/>
      <c r="F93" s="24" t="s">
        <v>11</v>
      </c>
      <c r="G93" s="9">
        <v>0</v>
      </c>
      <c r="H93" s="6">
        <v>0</v>
      </c>
      <c r="I93" s="6">
        <v>0</v>
      </c>
      <c r="J93" s="6">
        <v>240</v>
      </c>
      <c r="K93" s="6">
        <v>0</v>
      </c>
      <c r="L93" s="6">
        <v>0</v>
      </c>
      <c r="M93" s="6">
        <v>0</v>
      </c>
      <c r="N93" s="6">
        <f t="shared" si="3"/>
        <v>240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f t="shared" si="7"/>
        <v>240</v>
      </c>
    </row>
    <row r="94" spans="1:21" s="7" customFormat="1" ht="42.75" hidden="1" customHeight="1" outlineLevel="1" x14ac:dyDescent="0.2">
      <c r="A94" s="124"/>
      <c r="B94" s="439"/>
      <c r="C94" s="153" t="s">
        <v>88</v>
      </c>
      <c r="D94" s="95">
        <v>2020</v>
      </c>
      <c r="E94" s="426"/>
      <c r="F94" s="24" t="s">
        <v>11</v>
      </c>
      <c r="G94" s="9">
        <v>0</v>
      </c>
      <c r="H94" s="6">
        <v>0</v>
      </c>
      <c r="I94" s="6">
        <v>0</v>
      </c>
      <c r="J94" s="6">
        <v>0</v>
      </c>
      <c r="K94" s="6">
        <v>1334.27</v>
      </c>
      <c r="L94" s="6">
        <v>0</v>
      </c>
      <c r="M94" s="6">
        <v>0</v>
      </c>
      <c r="N94" s="6">
        <f t="shared" si="3"/>
        <v>1334.27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f t="shared" si="7"/>
        <v>1334.27</v>
      </c>
    </row>
    <row r="95" spans="1:21" s="7" customFormat="1" ht="42.75" hidden="1" customHeight="1" outlineLevel="1" x14ac:dyDescent="0.2">
      <c r="A95" s="124"/>
      <c r="B95" s="439"/>
      <c r="C95" s="153" t="s">
        <v>89</v>
      </c>
      <c r="D95" s="95" t="s">
        <v>90</v>
      </c>
      <c r="E95" s="426"/>
      <c r="F95" s="24" t="s">
        <v>11</v>
      </c>
      <c r="G95" s="9">
        <v>0</v>
      </c>
      <c r="H95" s="6">
        <v>0</v>
      </c>
      <c r="I95" s="6">
        <v>0</v>
      </c>
      <c r="J95" s="6">
        <v>0</v>
      </c>
      <c r="K95" s="6">
        <v>3500</v>
      </c>
      <c r="L95" s="6">
        <f>4500</f>
        <v>4500</v>
      </c>
      <c r="M95" s="6">
        <f>0+4500</f>
        <v>4500</v>
      </c>
      <c r="N95" s="6">
        <f t="shared" si="3"/>
        <v>12500</v>
      </c>
      <c r="O95" s="6">
        <v>4800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f t="shared" si="7"/>
        <v>17300</v>
      </c>
    </row>
    <row r="96" spans="1:21" s="7" customFormat="1" ht="59.25" hidden="1" customHeight="1" outlineLevel="1" x14ac:dyDescent="0.2">
      <c r="A96" s="124"/>
      <c r="B96" s="439"/>
      <c r="C96" s="153" t="s">
        <v>216</v>
      </c>
      <c r="D96" s="95">
        <v>2019</v>
      </c>
      <c r="E96" s="426"/>
      <c r="F96" s="24" t="s">
        <v>11</v>
      </c>
      <c r="G96" s="9">
        <v>0</v>
      </c>
      <c r="H96" s="6">
        <v>0</v>
      </c>
      <c r="I96" s="6">
        <v>0</v>
      </c>
      <c r="J96" s="6">
        <v>5200</v>
      </c>
      <c r="K96" s="6">
        <v>0</v>
      </c>
      <c r="L96" s="6">
        <v>0</v>
      </c>
      <c r="M96" s="6">
        <v>0</v>
      </c>
      <c r="N96" s="6">
        <f t="shared" si="3"/>
        <v>5200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f t="shared" si="7"/>
        <v>5200</v>
      </c>
    </row>
    <row r="97" spans="1:21" s="7" customFormat="1" ht="71.25" hidden="1" customHeight="1" outlineLevel="1" x14ac:dyDescent="0.2">
      <c r="A97" s="124"/>
      <c r="B97" s="439"/>
      <c r="C97" s="153" t="s">
        <v>91</v>
      </c>
      <c r="D97" s="96" t="s">
        <v>50</v>
      </c>
      <c r="E97" s="426"/>
      <c r="F97" s="24" t="s">
        <v>11</v>
      </c>
      <c r="G97" s="9">
        <v>0</v>
      </c>
      <c r="H97" s="6">
        <v>0</v>
      </c>
      <c r="I97" s="6">
        <v>0</v>
      </c>
      <c r="J97" s="6">
        <v>400</v>
      </c>
      <c r="K97" s="6">
        <v>0</v>
      </c>
      <c r="L97" s="6">
        <v>69.55</v>
      </c>
      <c r="M97" s="6">
        <v>0</v>
      </c>
      <c r="N97" s="6">
        <f t="shared" si="3"/>
        <v>469.55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f t="shared" si="7"/>
        <v>469.55</v>
      </c>
    </row>
    <row r="98" spans="1:21" s="7" customFormat="1" ht="46.5" hidden="1" customHeight="1" outlineLevel="1" x14ac:dyDescent="0.2">
      <c r="A98" s="124"/>
      <c r="B98" s="439"/>
      <c r="C98" s="153" t="s">
        <v>92</v>
      </c>
      <c r="D98" s="95" t="s">
        <v>56</v>
      </c>
      <c r="E98" s="426"/>
      <c r="F98" s="24" t="s">
        <v>11</v>
      </c>
      <c r="G98" s="9">
        <v>0</v>
      </c>
      <c r="H98" s="6">
        <v>0</v>
      </c>
      <c r="I98" s="6">
        <v>0</v>
      </c>
      <c r="J98" s="6">
        <v>30000</v>
      </c>
      <c r="K98" s="6">
        <v>0</v>
      </c>
      <c r="L98" s="6">
        <v>0</v>
      </c>
      <c r="M98" s="6">
        <v>0</v>
      </c>
      <c r="N98" s="6">
        <f t="shared" si="3"/>
        <v>30000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f t="shared" si="7"/>
        <v>30000</v>
      </c>
    </row>
    <row r="99" spans="1:21" s="7" customFormat="1" ht="56.25" hidden="1" customHeight="1" outlineLevel="1" x14ac:dyDescent="0.2">
      <c r="A99" s="124"/>
      <c r="B99" s="439"/>
      <c r="C99" s="153" t="s">
        <v>93</v>
      </c>
      <c r="D99" s="96" t="s">
        <v>50</v>
      </c>
      <c r="E99" s="426"/>
      <c r="F99" s="24" t="s">
        <v>11</v>
      </c>
      <c r="G99" s="9">
        <v>0</v>
      </c>
      <c r="H99" s="6">
        <v>0</v>
      </c>
      <c r="I99" s="6">
        <v>0</v>
      </c>
      <c r="J99" s="6">
        <v>7000</v>
      </c>
      <c r="K99" s="6">
        <v>13389</v>
      </c>
      <c r="L99" s="6">
        <f>0+4455</f>
        <v>4455</v>
      </c>
      <c r="M99" s="6">
        <f>0+2600+2000</f>
        <v>4600</v>
      </c>
      <c r="N99" s="6">
        <f t="shared" si="3"/>
        <v>29444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f t="shared" si="7"/>
        <v>29444</v>
      </c>
    </row>
    <row r="100" spans="1:21" s="7" customFormat="1" ht="71.25" hidden="1" customHeight="1" outlineLevel="1" x14ac:dyDescent="0.2">
      <c r="A100" s="124"/>
      <c r="B100" s="439"/>
      <c r="C100" s="153" t="s">
        <v>217</v>
      </c>
      <c r="D100" s="95" t="s">
        <v>90</v>
      </c>
      <c r="E100" s="426"/>
      <c r="F100" s="24" t="s">
        <v>11</v>
      </c>
      <c r="G100" s="9">
        <v>0</v>
      </c>
      <c r="H100" s="9">
        <v>0</v>
      </c>
      <c r="I100" s="9">
        <v>0</v>
      </c>
      <c r="J100" s="9">
        <v>0</v>
      </c>
      <c r="K100" s="6">
        <v>200</v>
      </c>
      <c r="L100" s="6">
        <v>97.64</v>
      </c>
      <c r="M100" s="6">
        <v>0</v>
      </c>
      <c r="N100" s="6">
        <f t="shared" si="3"/>
        <v>297.64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f t="shared" si="7"/>
        <v>297.64</v>
      </c>
    </row>
    <row r="101" spans="1:21" s="7" customFormat="1" ht="41.25" hidden="1" customHeight="1" outlineLevel="1" x14ac:dyDescent="0.2">
      <c r="A101" s="124"/>
      <c r="B101" s="439"/>
      <c r="C101" s="153" t="s">
        <v>94</v>
      </c>
      <c r="D101" s="95">
        <v>2020</v>
      </c>
      <c r="E101" s="426"/>
      <c r="F101" s="24" t="s">
        <v>11</v>
      </c>
      <c r="G101" s="9">
        <v>0</v>
      </c>
      <c r="H101" s="6">
        <v>0</v>
      </c>
      <c r="I101" s="6">
        <v>0</v>
      </c>
      <c r="J101" s="6">
        <v>0</v>
      </c>
      <c r="K101" s="6">
        <v>50000</v>
      </c>
      <c r="L101" s="6">
        <v>0</v>
      </c>
      <c r="M101" s="6">
        <v>0</v>
      </c>
      <c r="N101" s="6">
        <f t="shared" si="3"/>
        <v>50000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f t="shared" si="7"/>
        <v>50000</v>
      </c>
    </row>
    <row r="102" spans="1:21" s="7" customFormat="1" ht="36" hidden="1" customHeight="1" outlineLevel="1" x14ac:dyDescent="0.2">
      <c r="A102" s="124"/>
      <c r="B102" s="439"/>
      <c r="C102" s="153" t="s">
        <v>95</v>
      </c>
      <c r="D102" s="95">
        <v>2020</v>
      </c>
      <c r="E102" s="426"/>
      <c r="F102" s="24" t="s">
        <v>11</v>
      </c>
      <c r="G102" s="9">
        <v>0</v>
      </c>
      <c r="H102" s="6">
        <v>0</v>
      </c>
      <c r="I102" s="6">
        <v>0</v>
      </c>
      <c r="J102" s="6">
        <v>0</v>
      </c>
      <c r="K102" s="6">
        <v>690</v>
      </c>
      <c r="L102" s="6">
        <v>0</v>
      </c>
      <c r="M102" s="6">
        <v>0</v>
      </c>
      <c r="N102" s="6">
        <f t="shared" si="3"/>
        <v>690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f t="shared" si="7"/>
        <v>690</v>
      </c>
    </row>
    <row r="103" spans="1:21" s="7" customFormat="1" ht="48.75" hidden="1" customHeight="1" outlineLevel="1" x14ac:dyDescent="0.2">
      <c r="A103" s="92"/>
      <c r="B103" s="439"/>
      <c r="C103" s="154" t="s">
        <v>220</v>
      </c>
      <c r="D103" s="96">
        <v>2020</v>
      </c>
      <c r="E103" s="426"/>
      <c r="F103" s="24" t="s">
        <v>11</v>
      </c>
      <c r="G103" s="9">
        <v>0</v>
      </c>
      <c r="H103" s="6">
        <v>0</v>
      </c>
      <c r="I103" s="6">
        <v>0</v>
      </c>
      <c r="J103" s="6">
        <v>0</v>
      </c>
      <c r="K103" s="6">
        <v>900</v>
      </c>
      <c r="L103" s="6">
        <v>0</v>
      </c>
      <c r="M103" s="6">
        <v>0</v>
      </c>
      <c r="N103" s="6">
        <f t="shared" si="3"/>
        <v>900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f t="shared" si="7"/>
        <v>900</v>
      </c>
    </row>
    <row r="104" spans="1:21" s="7" customFormat="1" ht="68.25" hidden="1" customHeight="1" outlineLevel="1" x14ac:dyDescent="0.2">
      <c r="A104" s="33"/>
      <c r="B104" s="439"/>
      <c r="C104" s="155" t="s">
        <v>96</v>
      </c>
      <c r="D104" s="93" t="s">
        <v>90</v>
      </c>
      <c r="E104" s="426"/>
      <c r="F104" s="24" t="s">
        <v>11</v>
      </c>
      <c r="G104" s="9">
        <v>0</v>
      </c>
      <c r="H104" s="6">
        <v>0</v>
      </c>
      <c r="I104" s="6">
        <v>0</v>
      </c>
      <c r="J104" s="6">
        <v>0</v>
      </c>
      <c r="K104" s="6">
        <v>2334.5</v>
      </c>
      <c r="L104" s="6">
        <v>1892.3</v>
      </c>
      <c r="M104" s="6">
        <v>0</v>
      </c>
      <c r="N104" s="6">
        <f t="shared" si="3"/>
        <v>4226.8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f t="shared" si="7"/>
        <v>4226.8</v>
      </c>
    </row>
    <row r="105" spans="1:21" s="7" customFormat="1" ht="41.25" hidden="1" customHeight="1" outlineLevel="1" x14ac:dyDescent="0.2">
      <c r="A105" s="33"/>
      <c r="B105" s="439"/>
      <c r="C105" s="153" t="s">
        <v>97</v>
      </c>
      <c r="D105" s="95" t="s">
        <v>90</v>
      </c>
      <c r="E105" s="426"/>
      <c r="F105" s="24" t="s">
        <v>11</v>
      </c>
      <c r="G105" s="9">
        <v>0</v>
      </c>
      <c r="H105" s="6">
        <v>0</v>
      </c>
      <c r="I105" s="6">
        <v>0</v>
      </c>
      <c r="J105" s="6">
        <v>0</v>
      </c>
      <c r="K105" s="6">
        <v>1168.73</v>
      </c>
      <c r="L105" s="6">
        <f>0+320.8</f>
        <v>320.8</v>
      </c>
      <c r="M105" s="6">
        <v>0</v>
      </c>
      <c r="N105" s="6">
        <f t="shared" si="3"/>
        <v>1489.53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f t="shared" si="7"/>
        <v>1489.53</v>
      </c>
    </row>
    <row r="106" spans="1:21" s="7" customFormat="1" ht="58.5" hidden="1" customHeight="1" outlineLevel="1" x14ac:dyDescent="0.2">
      <c r="A106" s="33"/>
      <c r="B106" s="439"/>
      <c r="C106" s="153" t="s">
        <v>221</v>
      </c>
      <c r="D106" s="95" t="s">
        <v>98</v>
      </c>
      <c r="E106" s="426"/>
      <c r="F106" s="24" t="s">
        <v>11</v>
      </c>
      <c r="G106" s="9">
        <v>0</v>
      </c>
      <c r="H106" s="6">
        <v>0</v>
      </c>
      <c r="I106" s="6">
        <v>0</v>
      </c>
      <c r="J106" s="6">
        <v>0</v>
      </c>
      <c r="K106" s="6">
        <v>500</v>
      </c>
      <c r="L106" s="6">
        <v>500</v>
      </c>
      <c r="M106" s="6">
        <v>0</v>
      </c>
      <c r="N106" s="6">
        <f t="shared" si="3"/>
        <v>1000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f t="shared" si="7"/>
        <v>1000</v>
      </c>
    </row>
    <row r="107" spans="1:21" s="91" customFormat="1" ht="41.25" customHeight="1" collapsed="1" x14ac:dyDescent="0.2">
      <c r="A107" s="33"/>
      <c r="B107" s="439"/>
      <c r="C107" s="153" t="s">
        <v>99</v>
      </c>
      <c r="D107" s="95" t="s">
        <v>255</v>
      </c>
      <c r="E107" s="426"/>
      <c r="F107" s="24" t="s">
        <v>11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6">
        <v>5200</v>
      </c>
      <c r="M107" s="6">
        <f>2860-2860</f>
        <v>0</v>
      </c>
      <c r="N107" s="6">
        <f t="shared" si="3"/>
        <v>5200</v>
      </c>
      <c r="O107" s="6">
        <v>3150</v>
      </c>
      <c r="P107" s="6">
        <v>5500</v>
      </c>
      <c r="Q107" s="6">
        <v>0</v>
      </c>
      <c r="R107" s="6">
        <f>5600-5600</f>
        <v>0</v>
      </c>
      <c r="S107" s="6">
        <v>0</v>
      </c>
      <c r="T107" s="6">
        <v>0</v>
      </c>
      <c r="U107" s="6">
        <f t="shared" si="7"/>
        <v>13850</v>
      </c>
    </row>
    <row r="108" spans="1:21" s="7" customFormat="1" ht="48" hidden="1" customHeight="1" outlineLevel="1" x14ac:dyDescent="0.2">
      <c r="A108" s="33"/>
      <c r="B108" s="439"/>
      <c r="C108" s="153" t="s">
        <v>100</v>
      </c>
      <c r="D108" s="96" t="s">
        <v>59</v>
      </c>
      <c r="E108" s="426"/>
      <c r="F108" s="24" t="s">
        <v>11</v>
      </c>
      <c r="G108" s="9">
        <v>0</v>
      </c>
      <c r="H108" s="6">
        <v>0</v>
      </c>
      <c r="I108" s="6">
        <v>0</v>
      </c>
      <c r="J108" s="6">
        <v>0</v>
      </c>
      <c r="K108" s="6">
        <v>0</v>
      </c>
      <c r="L108" s="6">
        <v>2300</v>
      </c>
      <c r="M108" s="6">
        <v>0</v>
      </c>
      <c r="N108" s="6">
        <f t="shared" si="3"/>
        <v>2300</v>
      </c>
      <c r="O108" s="6">
        <v>2800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f t="shared" si="7"/>
        <v>5100</v>
      </c>
    </row>
    <row r="109" spans="1:21" s="7" customFormat="1" ht="48.75" hidden="1" customHeight="1" outlineLevel="1" x14ac:dyDescent="0.2">
      <c r="A109" s="33"/>
      <c r="B109" s="439"/>
      <c r="C109" s="153" t="s">
        <v>102</v>
      </c>
      <c r="D109" s="95" t="s">
        <v>59</v>
      </c>
      <c r="E109" s="426"/>
      <c r="F109" s="24" t="s">
        <v>11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6">
        <v>24900</v>
      </c>
      <c r="M109" s="6">
        <f>27309.5-27309.5</f>
        <v>0</v>
      </c>
      <c r="N109" s="6">
        <f t="shared" si="3"/>
        <v>24900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f t="shared" si="7"/>
        <v>24900</v>
      </c>
    </row>
    <row r="110" spans="1:21" s="7" customFormat="1" ht="44.25" hidden="1" customHeight="1" outlineLevel="1" x14ac:dyDescent="0.2">
      <c r="A110" s="33"/>
      <c r="B110" s="439"/>
      <c r="C110" s="153" t="s">
        <v>103</v>
      </c>
      <c r="D110" s="95" t="s">
        <v>59</v>
      </c>
      <c r="E110" s="426"/>
      <c r="F110" s="24" t="s">
        <v>11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6">
        <v>1000</v>
      </c>
      <c r="M110" s="6">
        <v>0</v>
      </c>
      <c r="N110" s="6">
        <f t="shared" si="3"/>
        <v>1000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f t="shared" si="7"/>
        <v>1000</v>
      </c>
    </row>
    <row r="111" spans="1:21" s="7" customFormat="1" ht="40.5" customHeight="1" collapsed="1" x14ac:dyDescent="0.2">
      <c r="A111" s="33"/>
      <c r="B111" s="439"/>
      <c r="C111" s="153" t="s">
        <v>104</v>
      </c>
      <c r="D111" s="95" t="s">
        <v>59</v>
      </c>
      <c r="E111" s="426"/>
      <c r="F111" s="24" t="s">
        <v>11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6">
        <v>425000</v>
      </c>
      <c r="M111" s="6">
        <v>510000</v>
      </c>
      <c r="N111" s="6">
        <f t="shared" si="3"/>
        <v>935000</v>
      </c>
      <c r="O111" s="6">
        <f>225000-14520</f>
        <v>210480</v>
      </c>
      <c r="P111" s="6">
        <v>0</v>
      </c>
      <c r="Q111" s="6">
        <f>250000-250000</f>
        <v>0</v>
      </c>
      <c r="R111" s="6">
        <f>264500-264500</f>
        <v>0</v>
      </c>
      <c r="S111" s="6">
        <f>300000-300000</f>
        <v>0</v>
      </c>
      <c r="T111" s="6">
        <f>317400-317400</f>
        <v>0</v>
      </c>
      <c r="U111" s="6">
        <f t="shared" si="7"/>
        <v>1145480</v>
      </c>
    </row>
    <row r="112" spans="1:21" s="7" customFormat="1" ht="46.5" hidden="1" customHeight="1" outlineLevel="1" x14ac:dyDescent="0.2">
      <c r="A112" s="33"/>
      <c r="B112" s="439"/>
      <c r="C112" s="153" t="s">
        <v>105</v>
      </c>
      <c r="D112" s="95" t="s">
        <v>59</v>
      </c>
      <c r="E112" s="426"/>
      <c r="F112" s="24" t="s">
        <v>11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">
        <v>0</v>
      </c>
      <c r="M112" s="6">
        <v>400</v>
      </c>
      <c r="N112" s="6">
        <f t="shared" si="3"/>
        <v>400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f t="shared" si="7"/>
        <v>400</v>
      </c>
    </row>
    <row r="113" spans="1:21" s="7" customFormat="1" ht="48" hidden="1" customHeight="1" outlineLevel="1" x14ac:dyDescent="0.2">
      <c r="A113" s="33"/>
      <c r="B113" s="439"/>
      <c r="C113" s="153" t="s">
        <v>208</v>
      </c>
      <c r="D113" s="95" t="s">
        <v>59</v>
      </c>
      <c r="E113" s="426"/>
      <c r="F113" s="24" t="s">
        <v>11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6">
        <v>0</v>
      </c>
      <c r="M113" s="6">
        <v>300</v>
      </c>
      <c r="N113" s="6">
        <f t="shared" si="3"/>
        <v>300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f t="shared" si="7"/>
        <v>300</v>
      </c>
    </row>
    <row r="114" spans="1:21" s="7" customFormat="1" ht="47.25" hidden="1" customHeight="1" outlineLevel="1" x14ac:dyDescent="0.2">
      <c r="A114" s="33"/>
      <c r="B114" s="439"/>
      <c r="C114" s="153" t="s">
        <v>211</v>
      </c>
      <c r="D114" s="95" t="s">
        <v>59</v>
      </c>
      <c r="E114" s="426"/>
      <c r="F114" s="24" t="s">
        <v>11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6">
        <v>0</v>
      </c>
      <c r="M114" s="6">
        <v>200</v>
      </c>
      <c r="N114" s="6">
        <f t="shared" si="3"/>
        <v>200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f t="shared" si="7"/>
        <v>200</v>
      </c>
    </row>
    <row r="115" spans="1:21" s="7" customFormat="1" ht="44.25" hidden="1" customHeight="1" outlineLevel="1" x14ac:dyDescent="0.2">
      <c r="A115" s="33"/>
      <c r="B115" s="439"/>
      <c r="C115" s="153" t="s">
        <v>194</v>
      </c>
      <c r="D115" s="97" t="s">
        <v>59</v>
      </c>
      <c r="E115" s="426"/>
      <c r="F115" s="24" t="s">
        <v>11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6">
        <v>0</v>
      </c>
      <c r="M115" s="6">
        <v>120</v>
      </c>
      <c r="N115" s="6">
        <f t="shared" si="3"/>
        <v>120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f t="shared" si="7"/>
        <v>120</v>
      </c>
    </row>
    <row r="116" spans="1:21" s="7" customFormat="1" ht="45.75" hidden="1" customHeight="1" outlineLevel="1" x14ac:dyDescent="0.2">
      <c r="A116" s="33"/>
      <c r="B116" s="439"/>
      <c r="C116" s="153" t="s">
        <v>195</v>
      </c>
      <c r="D116" s="94" t="s">
        <v>59</v>
      </c>
      <c r="E116" s="426"/>
      <c r="F116" s="24" t="s">
        <v>11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6">
        <v>0</v>
      </c>
      <c r="M116" s="6">
        <v>135</v>
      </c>
      <c r="N116" s="6">
        <f t="shared" si="3"/>
        <v>135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f t="shared" si="7"/>
        <v>135</v>
      </c>
    </row>
    <row r="117" spans="1:21" s="7" customFormat="1" ht="48" hidden="1" customHeight="1" outlineLevel="1" x14ac:dyDescent="0.2">
      <c r="A117" s="33"/>
      <c r="B117" s="439"/>
      <c r="C117" s="153" t="s">
        <v>196</v>
      </c>
      <c r="D117" s="95" t="s">
        <v>59</v>
      </c>
      <c r="E117" s="426"/>
      <c r="F117" s="24" t="s">
        <v>11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6">
        <v>0</v>
      </c>
      <c r="M117" s="6">
        <v>150</v>
      </c>
      <c r="N117" s="6">
        <f t="shared" si="3"/>
        <v>150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f t="shared" si="7"/>
        <v>150</v>
      </c>
    </row>
    <row r="118" spans="1:21" s="7" customFormat="1" ht="46.5" hidden="1" customHeight="1" outlineLevel="1" x14ac:dyDescent="0.2">
      <c r="A118" s="33"/>
      <c r="B118" s="439"/>
      <c r="C118" s="154" t="s">
        <v>106</v>
      </c>
      <c r="D118" s="96" t="s">
        <v>59</v>
      </c>
      <c r="E118" s="426"/>
      <c r="F118" s="24" t="s">
        <v>11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6">
        <v>0</v>
      </c>
      <c r="M118" s="6">
        <v>320</v>
      </c>
      <c r="N118" s="6">
        <f t="shared" si="3"/>
        <v>320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f t="shared" si="7"/>
        <v>320</v>
      </c>
    </row>
    <row r="119" spans="1:21" s="7" customFormat="1" ht="56.25" hidden="1" customHeight="1" outlineLevel="1" x14ac:dyDescent="0.2">
      <c r="A119" s="33"/>
      <c r="B119" s="439"/>
      <c r="C119" s="155" t="s">
        <v>107</v>
      </c>
      <c r="D119" s="93" t="s">
        <v>59</v>
      </c>
      <c r="E119" s="426"/>
      <c r="F119" s="24" t="s">
        <v>11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6">
        <v>500</v>
      </c>
      <c r="M119" s="6">
        <v>0</v>
      </c>
      <c r="N119" s="6">
        <f t="shared" si="3"/>
        <v>500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f t="shared" si="7"/>
        <v>500</v>
      </c>
    </row>
    <row r="120" spans="1:21" s="7" customFormat="1" ht="50.25" hidden="1" customHeight="1" outlineLevel="1" x14ac:dyDescent="0.2">
      <c r="A120" s="33"/>
      <c r="B120" s="439"/>
      <c r="C120" s="153" t="s">
        <v>108</v>
      </c>
      <c r="D120" s="95" t="s">
        <v>59</v>
      </c>
      <c r="E120" s="426"/>
      <c r="F120" s="24" t="s">
        <v>11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6">
        <v>0</v>
      </c>
      <c r="M120" s="6">
        <v>500</v>
      </c>
      <c r="N120" s="6">
        <f t="shared" si="3"/>
        <v>500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f t="shared" si="7"/>
        <v>500</v>
      </c>
    </row>
    <row r="121" spans="1:21" s="7" customFormat="1" ht="48" hidden="1" customHeight="1" outlineLevel="1" x14ac:dyDescent="0.2">
      <c r="A121" s="76"/>
      <c r="B121" s="439"/>
      <c r="C121" s="153" t="s">
        <v>109</v>
      </c>
      <c r="D121" s="95" t="s">
        <v>59</v>
      </c>
      <c r="E121" s="426"/>
      <c r="F121" s="24" t="s">
        <v>11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6">
        <v>410</v>
      </c>
      <c r="M121" s="6">
        <v>0</v>
      </c>
      <c r="N121" s="6">
        <f t="shared" si="3"/>
        <v>410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f t="shared" si="7"/>
        <v>410</v>
      </c>
    </row>
    <row r="122" spans="1:21" s="7" customFormat="1" ht="39.75" hidden="1" customHeight="1" outlineLevel="1" x14ac:dyDescent="0.2">
      <c r="A122" s="33"/>
      <c r="B122" s="439"/>
      <c r="C122" s="153" t="s">
        <v>110</v>
      </c>
      <c r="D122" s="95" t="s">
        <v>59</v>
      </c>
      <c r="E122" s="426"/>
      <c r="F122" s="24" t="s">
        <v>11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6">
        <v>0</v>
      </c>
      <c r="M122" s="6">
        <v>0</v>
      </c>
      <c r="N122" s="6">
        <f t="shared" si="3"/>
        <v>0</v>
      </c>
      <c r="O122" s="6">
        <v>15000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f t="shared" si="7"/>
        <v>15000</v>
      </c>
    </row>
    <row r="123" spans="1:21" s="7" customFormat="1" ht="47.25" hidden="1" customHeight="1" outlineLevel="1" x14ac:dyDescent="0.2">
      <c r="A123" s="33"/>
      <c r="B123" s="439"/>
      <c r="C123" s="153" t="s">
        <v>111</v>
      </c>
      <c r="D123" s="95" t="s">
        <v>59</v>
      </c>
      <c r="E123" s="426"/>
      <c r="F123" s="24" t="s">
        <v>11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6">
        <v>0</v>
      </c>
      <c r="M123" s="6">
        <v>0</v>
      </c>
      <c r="N123" s="6">
        <f t="shared" si="3"/>
        <v>0</v>
      </c>
      <c r="O123" s="6">
        <v>3400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f t="shared" si="7"/>
        <v>3400</v>
      </c>
    </row>
    <row r="124" spans="1:21" s="7" customFormat="1" ht="45.75" hidden="1" customHeight="1" outlineLevel="1" x14ac:dyDescent="0.2">
      <c r="A124" s="33"/>
      <c r="B124" s="439"/>
      <c r="C124" s="153" t="s">
        <v>112</v>
      </c>
      <c r="D124" s="95" t="s">
        <v>59</v>
      </c>
      <c r="E124" s="426"/>
      <c r="F124" s="24" t="s">
        <v>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6">
        <v>0</v>
      </c>
      <c r="M124" s="6">
        <v>0</v>
      </c>
      <c r="N124" s="6">
        <f t="shared" si="3"/>
        <v>0</v>
      </c>
      <c r="O124" s="6">
        <v>1200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f t="shared" si="7"/>
        <v>1200</v>
      </c>
    </row>
    <row r="125" spans="1:21" s="7" customFormat="1" ht="48.75" hidden="1" customHeight="1" outlineLevel="1" x14ac:dyDescent="0.2">
      <c r="A125" s="33"/>
      <c r="B125" s="439"/>
      <c r="C125" s="153" t="s">
        <v>113</v>
      </c>
      <c r="D125" s="95" t="s">
        <v>59</v>
      </c>
      <c r="E125" s="426"/>
      <c r="F125" s="24" t="s">
        <v>11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6">
        <v>0</v>
      </c>
      <c r="M125" s="6">
        <v>1000</v>
      </c>
      <c r="N125" s="6">
        <f t="shared" si="3"/>
        <v>1000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f t="shared" si="7"/>
        <v>1000</v>
      </c>
    </row>
    <row r="126" spans="1:21" s="7" customFormat="1" ht="44.25" hidden="1" customHeight="1" outlineLevel="1" x14ac:dyDescent="0.2">
      <c r="A126" s="33"/>
      <c r="B126" s="439"/>
      <c r="C126" s="153" t="s">
        <v>114</v>
      </c>
      <c r="D126" s="95" t="s">
        <v>59</v>
      </c>
      <c r="E126" s="426"/>
      <c r="F126" s="24" t="s">
        <v>11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6">
        <v>0</v>
      </c>
      <c r="M126" s="6">
        <v>0</v>
      </c>
      <c r="N126" s="6">
        <f t="shared" si="3"/>
        <v>0</v>
      </c>
      <c r="O126" s="6">
        <v>300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f t="shared" si="7"/>
        <v>300</v>
      </c>
    </row>
    <row r="127" spans="1:21" s="7" customFormat="1" ht="48.75" hidden="1" customHeight="1" outlineLevel="1" x14ac:dyDescent="0.2">
      <c r="A127" s="33"/>
      <c r="B127" s="439"/>
      <c r="C127" s="153" t="s">
        <v>115</v>
      </c>
      <c r="D127" s="95" t="s">
        <v>59</v>
      </c>
      <c r="E127" s="426"/>
      <c r="F127" s="24" t="s">
        <v>11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6">
        <v>0</v>
      </c>
      <c r="M127" s="6">
        <v>0</v>
      </c>
      <c r="N127" s="6">
        <f t="shared" si="3"/>
        <v>0</v>
      </c>
      <c r="O127" s="6">
        <v>350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f t="shared" si="7"/>
        <v>350</v>
      </c>
    </row>
    <row r="128" spans="1:21" s="7" customFormat="1" ht="43.5" hidden="1" customHeight="1" outlineLevel="1" x14ac:dyDescent="0.2">
      <c r="A128" s="33"/>
      <c r="B128" s="439"/>
      <c r="C128" s="153" t="s">
        <v>116</v>
      </c>
      <c r="D128" s="96" t="s">
        <v>59</v>
      </c>
      <c r="E128" s="426"/>
      <c r="F128" s="24" t="s">
        <v>11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6">
        <v>0</v>
      </c>
      <c r="M128" s="6">
        <v>0</v>
      </c>
      <c r="N128" s="6">
        <f t="shared" si="3"/>
        <v>0</v>
      </c>
      <c r="O128" s="6">
        <v>400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f t="shared" si="7"/>
        <v>400</v>
      </c>
    </row>
    <row r="129" spans="1:21" s="7" customFormat="1" ht="45.75" hidden="1" customHeight="1" outlineLevel="1" x14ac:dyDescent="0.2">
      <c r="A129" s="33"/>
      <c r="B129" s="439"/>
      <c r="C129" s="153" t="s">
        <v>117</v>
      </c>
      <c r="D129" s="95" t="s">
        <v>59</v>
      </c>
      <c r="E129" s="426"/>
      <c r="F129" s="24" t="s">
        <v>11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6">
        <v>0</v>
      </c>
      <c r="M129" s="6">
        <f>5000-5000</f>
        <v>0</v>
      </c>
      <c r="N129" s="6">
        <f t="shared" si="3"/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f t="shared" si="7"/>
        <v>0</v>
      </c>
    </row>
    <row r="130" spans="1:21" s="7" customFormat="1" ht="39.75" hidden="1" customHeight="1" outlineLevel="1" x14ac:dyDescent="0.2">
      <c r="A130" s="33"/>
      <c r="B130" s="439"/>
      <c r="C130" s="153" t="s">
        <v>118</v>
      </c>
      <c r="D130" s="95" t="s">
        <v>59</v>
      </c>
      <c r="E130" s="426"/>
      <c r="F130" s="24" t="s">
        <v>11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6">
        <v>0</v>
      </c>
      <c r="M130" s="6">
        <v>0</v>
      </c>
      <c r="N130" s="6">
        <f t="shared" si="3"/>
        <v>0</v>
      </c>
      <c r="O130" s="6">
        <v>12000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f t="shared" si="7"/>
        <v>12000</v>
      </c>
    </row>
    <row r="131" spans="1:21" s="7" customFormat="1" ht="50.25" hidden="1" customHeight="1" outlineLevel="1" x14ac:dyDescent="0.2">
      <c r="A131" s="33"/>
      <c r="B131" s="439"/>
      <c r="C131" s="153" t="s">
        <v>119</v>
      </c>
      <c r="D131" s="95" t="s">
        <v>59</v>
      </c>
      <c r="E131" s="426"/>
      <c r="F131" s="24" t="s">
        <v>11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6">
        <v>0</v>
      </c>
      <c r="M131" s="6">
        <f>18000-488.9+99.5</f>
        <v>17610.599999999999</v>
      </c>
      <c r="N131" s="6">
        <f t="shared" si="3"/>
        <v>17610.599999999999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f t="shared" si="7"/>
        <v>17610.599999999999</v>
      </c>
    </row>
    <row r="132" spans="1:21" s="7" customFormat="1" ht="48" hidden="1" customHeight="1" outlineLevel="1" x14ac:dyDescent="0.2">
      <c r="A132" s="33"/>
      <c r="B132" s="439"/>
      <c r="C132" s="153" t="s">
        <v>120</v>
      </c>
      <c r="D132" s="95" t="s">
        <v>59</v>
      </c>
      <c r="E132" s="426"/>
      <c r="F132" s="24" t="s">
        <v>11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6">
        <v>0</v>
      </c>
      <c r="M132" s="6">
        <v>0</v>
      </c>
      <c r="N132" s="6">
        <f t="shared" si="3"/>
        <v>0</v>
      </c>
      <c r="O132" s="6">
        <v>18000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f t="shared" si="7"/>
        <v>18000</v>
      </c>
    </row>
    <row r="133" spans="1:21" s="7" customFormat="1" ht="45.75" hidden="1" customHeight="1" outlineLevel="1" x14ac:dyDescent="0.2">
      <c r="A133" s="33"/>
      <c r="B133" s="439"/>
      <c r="C133" s="153" t="s">
        <v>197</v>
      </c>
      <c r="D133" s="95" t="s">
        <v>59</v>
      </c>
      <c r="E133" s="426"/>
      <c r="F133" s="24" t="s">
        <v>11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6">
        <v>0</v>
      </c>
      <c r="M133" s="6">
        <v>120</v>
      </c>
      <c r="N133" s="6">
        <f t="shared" si="3"/>
        <v>120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f t="shared" si="7"/>
        <v>120</v>
      </c>
    </row>
    <row r="134" spans="1:21" s="7" customFormat="1" ht="51" hidden="1" customHeight="1" outlineLevel="1" x14ac:dyDescent="0.2">
      <c r="A134" s="33"/>
      <c r="B134" s="439"/>
      <c r="C134" s="153" t="s">
        <v>186</v>
      </c>
      <c r="D134" s="97" t="s">
        <v>59</v>
      </c>
      <c r="E134" s="426"/>
      <c r="F134" s="24" t="s">
        <v>11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6">
        <v>0</v>
      </c>
      <c r="M134" s="6">
        <v>135</v>
      </c>
      <c r="N134" s="6">
        <f t="shared" si="3"/>
        <v>135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f t="shared" si="7"/>
        <v>135</v>
      </c>
    </row>
    <row r="135" spans="1:21" s="7" customFormat="1" ht="45.75" hidden="1" customHeight="1" outlineLevel="1" x14ac:dyDescent="0.2">
      <c r="A135" s="33"/>
      <c r="B135" s="439"/>
      <c r="C135" s="153" t="s">
        <v>121</v>
      </c>
      <c r="D135" s="97" t="s">
        <v>59</v>
      </c>
      <c r="E135" s="426"/>
      <c r="F135" s="24" t="s">
        <v>11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6">
        <v>0</v>
      </c>
      <c r="M135" s="6">
        <v>0</v>
      </c>
      <c r="N135" s="6">
        <f t="shared" si="3"/>
        <v>0</v>
      </c>
      <c r="O135" s="6">
        <v>300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f t="shared" si="7"/>
        <v>300</v>
      </c>
    </row>
    <row r="136" spans="1:21" s="7" customFormat="1" ht="48.75" hidden="1" customHeight="1" outlineLevel="1" x14ac:dyDescent="0.2">
      <c r="A136" s="33"/>
      <c r="B136" s="439"/>
      <c r="C136" s="153" t="s">
        <v>198</v>
      </c>
      <c r="D136" s="95" t="s">
        <v>59</v>
      </c>
      <c r="E136" s="426"/>
      <c r="F136" s="24" t="s">
        <v>11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6">
        <v>0</v>
      </c>
      <c r="M136" s="6">
        <v>0</v>
      </c>
      <c r="N136" s="6">
        <f t="shared" si="3"/>
        <v>0</v>
      </c>
      <c r="O136" s="6">
        <v>350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f t="shared" si="7"/>
        <v>350</v>
      </c>
    </row>
    <row r="137" spans="1:21" s="7" customFormat="1" ht="43.5" hidden="1" customHeight="1" outlineLevel="1" x14ac:dyDescent="0.2">
      <c r="A137" s="33"/>
      <c r="B137" s="439"/>
      <c r="C137" s="154" t="s">
        <v>199</v>
      </c>
      <c r="D137" s="96" t="s">
        <v>59</v>
      </c>
      <c r="E137" s="426"/>
      <c r="F137" s="24" t="s">
        <v>11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6">
        <f>700-700</f>
        <v>0</v>
      </c>
      <c r="M137" s="6">
        <f>880</f>
        <v>880</v>
      </c>
      <c r="N137" s="6">
        <f t="shared" si="3"/>
        <v>880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f t="shared" si="7"/>
        <v>880</v>
      </c>
    </row>
    <row r="138" spans="1:21" s="7" customFormat="1" ht="53.25" hidden="1" customHeight="1" outlineLevel="1" x14ac:dyDescent="0.2">
      <c r="A138" s="33"/>
      <c r="B138" s="439"/>
      <c r="C138" s="155" t="s">
        <v>200</v>
      </c>
      <c r="D138" s="93" t="s">
        <v>59</v>
      </c>
      <c r="E138" s="426"/>
      <c r="F138" s="24" t="s">
        <v>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6">
        <v>0</v>
      </c>
      <c r="M138" s="6">
        <v>1750</v>
      </c>
      <c r="N138" s="6">
        <f t="shared" si="3"/>
        <v>1750</v>
      </c>
      <c r="O138" s="6">
        <v>2200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f t="shared" si="7"/>
        <v>3950</v>
      </c>
    </row>
    <row r="139" spans="1:21" s="7" customFormat="1" ht="48.75" hidden="1" customHeight="1" outlineLevel="1" x14ac:dyDescent="0.2">
      <c r="A139" s="33"/>
      <c r="B139" s="439"/>
      <c r="C139" s="153" t="s">
        <v>122</v>
      </c>
      <c r="D139" s="95" t="s">
        <v>59</v>
      </c>
      <c r="E139" s="426"/>
      <c r="F139" s="24" t="s">
        <v>11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6">
        <v>500</v>
      </c>
      <c r="M139" s="6">
        <v>0</v>
      </c>
      <c r="N139" s="6">
        <f t="shared" si="3"/>
        <v>500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f t="shared" si="7"/>
        <v>500</v>
      </c>
    </row>
    <row r="140" spans="1:21" s="7" customFormat="1" ht="45.75" hidden="1" customHeight="1" outlineLevel="1" x14ac:dyDescent="0.2">
      <c r="A140" s="76"/>
      <c r="B140" s="439"/>
      <c r="C140" s="153" t="s">
        <v>123</v>
      </c>
      <c r="D140" s="95" t="s">
        <v>59</v>
      </c>
      <c r="E140" s="426"/>
      <c r="F140" s="24" t="s">
        <v>11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6">
        <v>0</v>
      </c>
      <c r="M140" s="6">
        <f>2000</f>
        <v>2000</v>
      </c>
      <c r="N140" s="6">
        <f t="shared" si="3"/>
        <v>2000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f t="shared" si="7"/>
        <v>2000</v>
      </c>
    </row>
    <row r="141" spans="1:21" s="7" customFormat="1" ht="49.5" customHeight="1" collapsed="1" x14ac:dyDescent="0.2">
      <c r="A141" s="33"/>
      <c r="B141" s="439"/>
      <c r="C141" s="153" t="s">
        <v>124</v>
      </c>
      <c r="D141" s="95" t="s">
        <v>61</v>
      </c>
      <c r="E141" s="426"/>
      <c r="F141" s="24" t="s">
        <v>11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6">
        <v>20000</v>
      </c>
      <c r="M141" s="6">
        <f>22000+28000</f>
        <v>50000</v>
      </c>
      <c r="N141" s="6">
        <f t="shared" si="3"/>
        <v>70000</v>
      </c>
      <c r="O141" s="6">
        <f>24200+265.6</f>
        <v>24465.599999999999</v>
      </c>
      <c r="P141" s="6">
        <v>33993</v>
      </c>
      <c r="Q141" s="6">
        <f>36372.51</f>
        <v>36372.51</v>
      </c>
      <c r="R141" s="6">
        <f>38482.11558-38482.11558</f>
        <v>0</v>
      </c>
      <c r="S141" s="6">
        <f>40714.07828364-40714.07828364</f>
        <v>0</v>
      </c>
      <c r="T141" s="6">
        <v>43075.494824091133</v>
      </c>
      <c r="U141" s="6">
        <f t="shared" si="7"/>
        <v>207906.60482409113</v>
      </c>
    </row>
    <row r="142" spans="1:21" s="7" customFormat="1" ht="42.75" hidden="1" customHeight="1" outlineLevel="1" x14ac:dyDescent="0.2">
      <c r="A142" s="33"/>
      <c r="B142" s="133"/>
      <c r="C142" s="153" t="s">
        <v>125</v>
      </c>
      <c r="D142" s="95" t="s">
        <v>59</v>
      </c>
      <c r="E142" s="10"/>
      <c r="F142" s="24" t="s">
        <v>11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6">
        <f>4000+349.7-4349.7</f>
        <v>0</v>
      </c>
      <c r="M142" s="6">
        <f>0+4349.7</f>
        <v>4349.7</v>
      </c>
      <c r="N142" s="6">
        <f t="shared" ref="N142:N205" si="8">G142+H142+I142+J142+K142+L142+M142</f>
        <v>4349.7</v>
      </c>
      <c r="O142" s="6">
        <f>2100-2100</f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f t="shared" si="7"/>
        <v>4349.7</v>
      </c>
    </row>
    <row r="143" spans="1:21" s="7" customFormat="1" ht="43.5" hidden="1" customHeight="1" outlineLevel="1" x14ac:dyDescent="0.2">
      <c r="A143" s="33"/>
      <c r="B143" s="133"/>
      <c r="C143" s="153" t="s">
        <v>126</v>
      </c>
      <c r="D143" s="95" t="s">
        <v>59</v>
      </c>
      <c r="E143" s="10"/>
      <c r="F143" s="24" t="s">
        <v>11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6">
        <v>4500</v>
      </c>
      <c r="M143" s="6">
        <f>5000-5000</f>
        <v>0</v>
      </c>
      <c r="N143" s="6">
        <f t="shared" si="8"/>
        <v>4500</v>
      </c>
      <c r="O143" s="6">
        <v>5500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f t="shared" si="7"/>
        <v>10000</v>
      </c>
    </row>
    <row r="144" spans="1:21" s="7" customFormat="1" ht="45" hidden="1" customHeight="1" outlineLevel="1" x14ac:dyDescent="0.2">
      <c r="A144" s="33"/>
      <c r="B144" s="133"/>
      <c r="C144" s="153" t="s">
        <v>127</v>
      </c>
      <c r="D144" s="95" t="s">
        <v>59</v>
      </c>
      <c r="E144" s="10"/>
      <c r="F144" s="24" t="s">
        <v>11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6">
        <f>4000-349.7</f>
        <v>3650.3</v>
      </c>
      <c r="M144" s="6">
        <v>0</v>
      </c>
      <c r="N144" s="6">
        <f t="shared" si="8"/>
        <v>3650.3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f t="shared" si="7"/>
        <v>3650.3</v>
      </c>
    </row>
    <row r="145" spans="1:21" s="7" customFormat="1" ht="43.5" hidden="1" customHeight="1" outlineLevel="1" x14ac:dyDescent="0.2">
      <c r="A145" s="33"/>
      <c r="B145" s="133"/>
      <c r="C145" s="153" t="s">
        <v>128</v>
      </c>
      <c r="D145" s="95" t="s">
        <v>61</v>
      </c>
      <c r="E145" s="10"/>
      <c r="F145" s="24" t="s">
        <v>11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6">
        <v>0</v>
      </c>
      <c r="M145" s="6">
        <f>2500</f>
        <v>2500</v>
      </c>
      <c r="N145" s="6">
        <f t="shared" si="8"/>
        <v>2500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7800</v>
      </c>
      <c r="U145" s="6">
        <f t="shared" si="7"/>
        <v>10300</v>
      </c>
    </row>
    <row r="146" spans="1:21" s="91" customFormat="1" ht="42" customHeight="1" collapsed="1" x14ac:dyDescent="0.2">
      <c r="A146" s="33"/>
      <c r="B146" s="133"/>
      <c r="C146" s="153" t="s">
        <v>129</v>
      </c>
      <c r="D146" s="95" t="s">
        <v>255</v>
      </c>
      <c r="E146" s="10"/>
      <c r="F146" s="24" t="s">
        <v>11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6">
        <v>2500</v>
      </c>
      <c r="M146" s="6">
        <v>2750</v>
      </c>
      <c r="N146" s="6">
        <f t="shared" si="8"/>
        <v>5250</v>
      </c>
      <c r="O146" s="6">
        <f>2900+2100-500</f>
        <v>4500</v>
      </c>
      <c r="P146" s="6">
        <v>6500</v>
      </c>
      <c r="Q146" s="6">
        <v>0</v>
      </c>
      <c r="R146" s="6">
        <f>7100-7100</f>
        <v>0</v>
      </c>
      <c r="S146" s="6">
        <v>0</v>
      </c>
      <c r="T146" s="6">
        <v>0</v>
      </c>
      <c r="U146" s="6">
        <f t="shared" ref="U146:U209" si="9">SUM(G146:T146)-N146</f>
        <v>16250</v>
      </c>
    </row>
    <row r="147" spans="1:21" s="7" customFormat="1" ht="48" hidden="1" customHeight="1" outlineLevel="1" x14ac:dyDescent="0.2">
      <c r="A147" s="33"/>
      <c r="B147" s="133"/>
      <c r="C147" s="153" t="s">
        <v>130</v>
      </c>
      <c r="D147" s="96" t="s">
        <v>59</v>
      </c>
      <c r="E147" s="10"/>
      <c r="F147" s="24" t="s">
        <v>11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6">
        <v>900</v>
      </c>
      <c r="M147" s="6">
        <v>0</v>
      </c>
      <c r="N147" s="6">
        <f t="shared" si="8"/>
        <v>900</v>
      </c>
      <c r="O147" s="6">
        <v>1100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f t="shared" si="9"/>
        <v>2000</v>
      </c>
    </row>
    <row r="148" spans="1:21" s="7" customFormat="1" ht="45" hidden="1" customHeight="1" outlineLevel="1" x14ac:dyDescent="0.2">
      <c r="A148" s="33"/>
      <c r="B148" s="133"/>
      <c r="C148" s="153" t="s">
        <v>131</v>
      </c>
      <c r="D148" s="95" t="s">
        <v>59</v>
      </c>
      <c r="E148" s="10"/>
      <c r="F148" s="24" t="s">
        <v>11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6">
        <v>300</v>
      </c>
      <c r="M148" s="6">
        <f>330-330</f>
        <v>0</v>
      </c>
      <c r="N148" s="6">
        <f t="shared" si="8"/>
        <v>300</v>
      </c>
      <c r="O148" s="6">
        <f>370-265.6</f>
        <v>104.39999999999998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f t="shared" si="9"/>
        <v>404.4</v>
      </c>
    </row>
    <row r="149" spans="1:21" s="7" customFormat="1" ht="39.75" customHeight="1" collapsed="1" x14ac:dyDescent="0.2">
      <c r="A149" s="33"/>
      <c r="B149" s="133"/>
      <c r="C149" s="153" t="s">
        <v>132</v>
      </c>
      <c r="D149" s="95" t="s">
        <v>59</v>
      </c>
      <c r="E149" s="10"/>
      <c r="F149" s="24" t="s">
        <v>11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6">
        <v>0</v>
      </c>
      <c r="M149" s="6">
        <v>0</v>
      </c>
      <c r="N149" s="6">
        <f t="shared" si="8"/>
        <v>0</v>
      </c>
      <c r="O149" s="6">
        <v>4000</v>
      </c>
      <c r="P149" s="6">
        <v>0</v>
      </c>
      <c r="Q149" s="6">
        <v>0</v>
      </c>
      <c r="R149" s="6">
        <v>0</v>
      </c>
      <c r="S149" s="6">
        <f>6157-6157</f>
        <v>0</v>
      </c>
      <c r="T149" s="6">
        <v>0</v>
      </c>
      <c r="U149" s="6">
        <f t="shared" si="9"/>
        <v>4000</v>
      </c>
    </row>
    <row r="150" spans="1:21" s="7" customFormat="1" ht="44.25" customHeight="1" x14ac:dyDescent="0.2">
      <c r="A150" s="33"/>
      <c r="B150" s="133"/>
      <c r="C150" s="153" t="s">
        <v>133</v>
      </c>
      <c r="D150" s="95" t="s">
        <v>59</v>
      </c>
      <c r="E150" s="10"/>
      <c r="F150" s="24" t="s">
        <v>11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6">
        <v>0</v>
      </c>
      <c r="M150" s="6">
        <f>7000-2000</f>
        <v>5000</v>
      </c>
      <c r="N150" s="6">
        <f t="shared" si="8"/>
        <v>5000</v>
      </c>
      <c r="O150" s="6">
        <v>7700</v>
      </c>
      <c r="P150" s="6">
        <v>0</v>
      </c>
      <c r="Q150" s="6">
        <v>0</v>
      </c>
      <c r="R150" s="6">
        <v>0</v>
      </c>
      <c r="S150" s="6">
        <f>9500-9500</f>
        <v>0</v>
      </c>
      <c r="T150" s="6">
        <v>0</v>
      </c>
      <c r="U150" s="6">
        <f t="shared" si="9"/>
        <v>12700</v>
      </c>
    </row>
    <row r="151" spans="1:21" s="7" customFormat="1" ht="41.25" hidden="1" customHeight="1" outlineLevel="1" x14ac:dyDescent="0.2">
      <c r="A151" s="33"/>
      <c r="B151" s="133"/>
      <c r="C151" s="153" t="s">
        <v>134</v>
      </c>
      <c r="D151" s="95" t="s">
        <v>59</v>
      </c>
      <c r="E151" s="10"/>
      <c r="F151" s="24" t="s">
        <v>11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6">
        <f>5000-2397</f>
        <v>2603</v>
      </c>
      <c r="M151" s="6">
        <f>5500</f>
        <v>5500</v>
      </c>
      <c r="N151" s="6">
        <f t="shared" si="8"/>
        <v>8103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f t="shared" si="9"/>
        <v>8103</v>
      </c>
    </row>
    <row r="152" spans="1:21" s="7" customFormat="1" ht="42" customHeight="1" collapsed="1" x14ac:dyDescent="0.2">
      <c r="A152" s="33"/>
      <c r="B152" s="133"/>
      <c r="C152" s="153" t="s">
        <v>135</v>
      </c>
      <c r="D152" s="95" t="s">
        <v>260</v>
      </c>
      <c r="E152" s="10"/>
      <c r="F152" s="24" t="s">
        <v>11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6">
        <v>65000</v>
      </c>
      <c r="M152" s="6">
        <v>0</v>
      </c>
      <c r="N152" s="6">
        <f t="shared" si="8"/>
        <v>65000</v>
      </c>
      <c r="O152" s="6">
        <v>0</v>
      </c>
      <c r="P152" s="6">
        <v>0</v>
      </c>
      <c r="Q152" s="6">
        <f>212000-212000</f>
        <v>0</v>
      </c>
      <c r="R152" s="6">
        <v>0</v>
      </c>
      <c r="S152" s="6">
        <v>0</v>
      </c>
      <c r="T152" s="6">
        <v>0</v>
      </c>
      <c r="U152" s="6">
        <f t="shared" si="9"/>
        <v>65000</v>
      </c>
    </row>
    <row r="153" spans="1:21" s="7" customFormat="1" ht="46.5" hidden="1" customHeight="1" outlineLevel="3" x14ac:dyDescent="0.2">
      <c r="A153" s="33"/>
      <c r="B153" s="133"/>
      <c r="C153" s="153" t="s">
        <v>201</v>
      </c>
      <c r="D153" s="95" t="s">
        <v>61</v>
      </c>
      <c r="E153" s="10"/>
      <c r="F153" s="24" t="s">
        <v>11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6">
        <v>0</v>
      </c>
      <c r="M153" s="6">
        <f>7700-7700</f>
        <v>0</v>
      </c>
      <c r="N153" s="6">
        <f t="shared" si="8"/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16300</v>
      </c>
      <c r="U153" s="6">
        <f t="shared" si="9"/>
        <v>16300</v>
      </c>
    </row>
    <row r="154" spans="1:21" s="7" customFormat="1" ht="44.25" customHeight="1" collapsed="1" x14ac:dyDescent="0.2">
      <c r="A154" s="33"/>
      <c r="B154" s="133"/>
      <c r="C154" s="154" t="s">
        <v>273</v>
      </c>
      <c r="D154" s="96" t="s">
        <v>59</v>
      </c>
      <c r="E154" s="10"/>
      <c r="F154" s="24" t="s">
        <v>11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6">
        <v>0</v>
      </c>
      <c r="M154" s="6">
        <v>0</v>
      </c>
      <c r="N154" s="6">
        <f t="shared" si="8"/>
        <v>0</v>
      </c>
      <c r="O154" s="6">
        <v>8500</v>
      </c>
      <c r="P154" s="6">
        <v>0</v>
      </c>
      <c r="Q154" s="6">
        <v>0</v>
      </c>
      <c r="R154" s="6">
        <v>0</v>
      </c>
      <c r="S154" s="6">
        <f>3860-3860</f>
        <v>0</v>
      </c>
      <c r="T154" s="6">
        <v>0</v>
      </c>
      <c r="U154" s="6">
        <f t="shared" si="9"/>
        <v>8500</v>
      </c>
    </row>
    <row r="155" spans="1:21" s="7" customFormat="1" ht="69" hidden="1" customHeight="1" outlineLevel="3" x14ac:dyDescent="0.2">
      <c r="A155" s="33"/>
      <c r="B155" s="133"/>
      <c r="C155" s="155" t="s">
        <v>212</v>
      </c>
      <c r="D155" s="93" t="s">
        <v>59</v>
      </c>
      <c r="E155" s="10"/>
      <c r="F155" s="24" t="s">
        <v>11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6">
        <v>78600</v>
      </c>
      <c r="M155" s="6">
        <v>78400</v>
      </c>
      <c r="N155" s="6">
        <f t="shared" si="8"/>
        <v>157000</v>
      </c>
      <c r="O155" s="6">
        <v>78500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f t="shared" si="9"/>
        <v>235500</v>
      </c>
    </row>
    <row r="156" spans="1:21" s="7" customFormat="1" ht="46.5" hidden="1" customHeight="1" outlineLevel="3" collapsed="1" x14ac:dyDescent="0.2">
      <c r="A156" s="33"/>
      <c r="B156" s="133"/>
      <c r="C156" s="156" t="s">
        <v>136</v>
      </c>
      <c r="D156" s="95" t="s">
        <v>256</v>
      </c>
      <c r="E156" s="10"/>
      <c r="F156" s="24" t="s">
        <v>11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6">
        <v>46839</v>
      </c>
      <c r="M156" s="6">
        <v>52023</v>
      </c>
      <c r="N156" s="6">
        <f t="shared" si="8"/>
        <v>98862</v>
      </c>
      <c r="O156" s="6">
        <v>100985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f t="shared" si="9"/>
        <v>199847</v>
      </c>
    </row>
    <row r="157" spans="1:21" s="7" customFormat="1" ht="54.75" customHeight="1" collapsed="1" x14ac:dyDescent="0.2">
      <c r="A157" s="78"/>
      <c r="B157" s="69"/>
      <c r="C157" s="153" t="s">
        <v>137</v>
      </c>
      <c r="D157" s="95" t="s">
        <v>61</v>
      </c>
      <c r="E157" s="18"/>
      <c r="F157" s="24" t="s">
        <v>11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6">
        <v>487872.01</v>
      </c>
      <c r="M157" s="6">
        <f>565781.7-700</f>
        <v>565081.69999999995</v>
      </c>
      <c r="N157" s="6">
        <f t="shared" si="8"/>
        <v>1052953.71</v>
      </c>
      <c r="O157" s="6">
        <v>606173.69999999995</v>
      </c>
      <c r="P157" s="6">
        <v>715064.5</v>
      </c>
      <c r="Q157" s="6">
        <f>777154.5-28938.68</f>
        <v>748215.82</v>
      </c>
      <c r="R157" s="6">
        <f>837218.4-31837.45</f>
        <v>805380.95000000007</v>
      </c>
      <c r="S157" s="6">
        <f>902652.4-74671.29</f>
        <v>827981.11</v>
      </c>
      <c r="T157" s="6">
        <v>973021.7</v>
      </c>
      <c r="U157" s="6">
        <f t="shared" si="9"/>
        <v>5728791.4900000002</v>
      </c>
    </row>
    <row r="158" spans="1:21" s="7" customFormat="1" ht="47.25" hidden="1" customHeight="1" outlineLevel="1" x14ac:dyDescent="0.2">
      <c r="A158" s="33"/>
      <c r="B158" s="133"/>
      <c r="C158" s="153" t="s">
        <v>187</v>
      </c>
      <c r="D158" s="98">
        <v>2021</v>
      </c>
      <c r="E158" s="10"/>
      <c r="F158" s="24" t="s">
        <v>11</v>
      </c>
      <c r="G158" s="9">
        <v>0</v>
      </c>
      <c r="H158" s="6">
        <v>0</v>
      </c>
      <c r="I158" s="6">
        <v>0</v>
      </c>
      <c r="J158" s="6">
        <v>0</v>
      </c>
      <c r="K158" s="6">
        <v>0</v>
      </c>
      <c r="L158" s="6">
        <v>241.5</v>
      </c>
      <c r="M158" s="6">
        <v>0</v>
      </c>
      <c r="N158" s="6">
        <f t="shared" si="8"/>
        <v>241.5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f t="shared" si="9"/>
        <v>241.5</v>
      </c>
    </row>
    <row r="159" spans="1:21" s="7" customFormat="1" ht="42" hidden="1" customHeight="1" outlineLevel="1" x14ac:dyDescent="0.2">
      <c r="A159" s="76"/>
      <c r="B159" s="133"/>
      <c r="C159" s="153" t="s">
        <v>202</v>
      </c>
      <c r="D159" s="98">
        <v>2021</v>
      </c>
      <c r="E159" s="10"/>
      <c r="F159" s="24" t="s">
        <v>11</v>
      </c>
      <c r="G159" s="9">
        <v>0</v>
      </c>
      <c r="H159" s="6">
        <v>0</v>
      </c>
      <c r="I159" s="6">
        <v>0</v>
      </c>
      <c r="J159" s="6">
        <v>0</v>
      </c>
      <c r="K159" s="6">
        <v>0</v>
      </c>
      <c r="L159" s="6">
        <f>0+400</f>
        <v>400</v>
      </c>
      <c r="M159" s="6">
        <v>0</v>
      </c>
      <c r="N159" s="6">
        <f t="shared" si="8"/>
        <v>400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f t="shared" si="9"/>
        <v>400</v>
      </c>
    </row>
    <row r="160" spans="1:21" s="7" customFormat="1" ht="44.25" hidden="1" customHeight="1" outlineLevel="1" x14ac:dyDescent="0.2">
      <c r="A160" s="33"/>
      <c r="B160" s="133"/>
      <c r="C160" s="153" t="s">
        <v>138</v>
      </c>
      <c r="D160" s="98">
        <v>2021</v>
      </c>
      <c r="E160" s="10"/>
      <c r="F160" s="24" t="s">
        <v>11</v>
      </c>
      <c r="G160" s="9">
        <v>0</v>
      </c>
      <c r="H160" s="6">
        <v>0</v>
      </c>
      <c r="I160" s="6">
        <v>0</v>
      </c>
      <c r="J160" s="6">
        <v>0</v>
      </c>
      <c r="K160" s="6">
        <v>0</v>
      </c>
      <c r="L160" s="6">
        <f>0+300</f>
        <v>300</v>
      </c>
      <c r="M160" s="6">
        <v>0</v>
      </c>
      <c r="N160" s="6">
        <f t="shared" si="8"/>
        <v>300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f t="shared" si="9"/>
        <v>300</v>
      </c>
    </row>
    <row r="161" spans="1:21" s="7" customFormat="1" ht="47.25" hidden="1" customHeight="1" outlineLevel="1" x14ac:dyDescent="0.2">
      <c r="A161" s="33"/>
      <c r="B161" s="133"/>
      <c r="C161" s="153" t="s">
        <v>188</v>
      </c>
      <c r="D161" s="98">
        <v>2021</v>
      </c>
      <c r="E161" s="10"/>
      <c r="F161" s="24" t="s">
        <v>11</v>
      </c>
      <c r="G161" s="9">
        <v>0</v>
      </c>
      <c r="H161" s="6">
        <v>0</v>
      </c>
      <c r="I161" s="6">
        <v>0</v>
      </c>
      <c r="J161" s="6">
        <v>0</v>
      </c>
      <c r="K161" s="6">
        <v>0</v>
      </c>
      <c r="L161" s="6">
        <v>2397</v>
      </c>
      <c r="M161" s="6">
        <v>0</v>
      </c>
      <c r="N161" s="6">
        <f t="shared" si="8"/>
        <v>2397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f t="shared" si="9"/>
        <v>2397</v>
      </c>
    </row>
    <row r="162" spans="1:21" s="7" customFormat="1" ht="39" hidden="1" customHeight="1" outlineLevel="1" x14ac:dyDescent="0.2">
      <c r="A162" s="33"/>
      <c r="B162" s="133"/>
      <c r="C162" s="153" t="s">
        <v>139</v>
      </c>
      <c r="D162" s="99">
        <v>2022</v>
      </c>
      <c r="E162" s="10"/>
      <c r="F162" s="24" t="s">
        <v>11</v>
      </c>
      <c r="G162" s="9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2500</v>
      </c>
      <c r="N162" s="6">
        <f t="shared" si="8"/>
        <v>2500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f t="shared" si="9"/>
        <v>2500</v>
      </c>
    </row>
    <row r="163" spans="1:21" s="7" customFormat="1" ht="43.5" customHeight="1" collapsed="1" x14ac:dyDescent="0.2">
      <c r="A163" s="33"/>
      <c r="B163" s="133"/>
      <c r="C163" s="153" t="s">
        <v>140</v>
      </c>
      <c r="D163" s="98" t="s">
        <v>61</v>
      </c>
      <c r="E163" s="10"/>
      <c r="F163" s="24" t="s">
        <v>11</v>
      </c>
      <c r="G163" s="9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6400</v>
      </c>
      <c r="N163" s="6">
        <f t="shared" si="8"/>
        <v>6400</v>
      </c>
      <c r="O163" s="6">
        <v>0</v>
      </c>
      <c r="P163" s="6">
        <v>0</v>
      </c>
      <c r="Q163" s="6">
        <v>0</v>
      </c>
      <c r="R163" s="6">
        <v>0</v>
      </c>
      <c r="S163" s="6">
        <f>18000-18000</f>
        <v>0</v>
      </c>
      <c r="T163" s="6">
        <v>19000</v>
      </c>
      <c r="U163" s="6">
        <f t="shared" si="9"/>
        <v>25400</v>
      </c>
    </row>
    <row r="164" spans="1:21" s="7" customFormat="1" ht="49.5" hidden="1" customHeight="1" outlineLevel="1" x14ac:dyDescent="0.2">
      <c r="A164" s="33"/>
      <c r="B164" s="133"/>
      <c r="C164" s="153" t="s">
        <v>141</v>
      </c>
      <c r="D164" s="98" t="s">
        <v>59</v>
      </c>
      <c r="E164" s="10"/>
      <c r="F164" s="24" t="s">
        <v>11</v>
      </c>
      <c r="G164" s="9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2600</v>
      </c>
      <c r="N164" s="6">
        <f t="shared" si="8"/>
        <v>2600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f t="shared" si="9"/>
        <v>2600</v>
      </c>
    </row>
    <row r="165" spans="1:21" s="7" customFormat="1" ht="47.25" hidden="1" customHeight="1" outlineLevel="1" x14ac:dyDescent="0.2">
      <c r="A165" s="33"/>
      <c r="B165" s="133"/>
      <c r="C165" s="153" t="s">
        <v>142</v>
      </c>
      <c r="D165" s="98" t="s">
        <v>59</v>
      </c>
      <c r="E165" s="10"/>
      <c r="F165" s="24" t="s">
        <v>11</v>
      </c>
      <c r="G165" s="9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1500</v>
      </c>
      <c r="N165" s="6">
        <f t="shared" si="8"/>
        <v>1500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f t="shared" si="9"/>
        <v>1500</v>
      </c>
    </row>
    <row r="166" spans="1:21" s="7" customFormat="1" ht="48" hidden="1" customHeight="1" outlineLevel="1" x14ac:dyDescent="0.2">
      <c r="A166" s="33"/>
      <c r="B166" s="133"/>
      <c r="C166" s="153" t="s">
        <v>143</v>
      </c>
      <c r="D166" s="98">
        <v>2022</v>
      </c>
      <c r="E166" s="10"/>
      <c r="F166" s="24" t="s">
        <v>11</v>
      </c>
      <c r="G166" s="9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700</v>
      </c>
      <c r="N166" s="6">
        <f t="shared" si="8"/>
        <v>700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f t="shared" si="9"/>
        <v>700</v>
      </c>
    </row>
    <row r="167" spans="1:21" s="7" customFormat="1" ht="42.75" hidden="1" customHeight="1" outlineLevel="1" x14ac:dyDescent="0.2">
      <c r="A167" s="33"/>
      <c r="B167" s="133"/>
      <c r="C167" s="153" t="s">
        <v>144</v>
      </c>
      <c r="D167" s="100">
        <v>2023</v>
      </c>
      <c r="E167" s="10"/>
      <c r="F167" s="34" t="s">
        <v>11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6">
        <v>0</v>
      </c>
      <c r="M167" s="6">
        <v>0</v>
      </c>
      <c r="N167" s="6">
        <f t="shared" si="8"/>
        <v>0</v>
      </c>
      <c r="O167" s="6">
        <v>400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f t="shared" si="9"/>
        <v>400</v>
      </c>
    </row>
    <row r="168" spans="1:21" s="91" customFormat="1" ht="42" customHeight="1" collapsed="1" x14ac:dyDescent="0.2">
      <c r="A168" s="33"/>
      <c r="B168" s="133"/>
      <c r="C168" s="154" t="s">
        <v>189</v>
      </c>
      <c r="D168" s="100">
        <v>2023</v>
      </c>
      <c r="E168" s="10"/>
      <c r="F168" s="34" t="s">
        <v>11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6">
        <v>0</v>
      </c>
      <c r="M168" s="6">
        <v>0</v>
      </c>
      <c r="N168" s="6">
        <f t="shared" si="8"/>
        <v>0</v>
      </c>
      <c r="O168" s="6">
        <v>9800</v>
      </c>
      <c r="P168" s="6">
        <v>0</v>
      </c>
      <c r="Q168" s="6">
        <v>0</v>
      </c>
      <c r="R168" s="6">
        <v>0</v>
      </c>
      <c r="S168" s="6">
        <v>0</v>
      </c>
      <c r="T168" s="6">
        <f>13760-13760</f>
        <v>0</v>
      </c>
      <c r="U168" s="6">
        <f t="shared" si="9"/>
        <v>9800</v>
      </c>
    </row>
    <row r="169" spans="1:21" s="91" customFormat="1" ht="40.5" customHeight="1" x14ac:dyDescent="0.2">
      <c r="A169" s="33"/>
      <c r="B169" s="32"/>
      <c r="C169" s="155" t="s">
        <v>145</v>
      </c>
      <c r="D169" s="92">
        <v>2023</v>
      </c>
      <c r="E169" s="10"/>
      <c r="F169" s="127" t="s">
        <v>11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2">
        <v>0</v>
      </c>
      <c r="M169" s="22">
        <v>0</v>
      </c>
      <c r="N169" s="22">
        <f t="shared" si="8"/>
        <v>0</v>
      </c>
      <c r="O169" s="22">
        <v>4100</v>
      </c>
      <c r="P169" s="22">
        <v>0</v>
      </c>
      <c r="Q169" s="22">
        <v>0</v>
      </c>
      <c r="R169" s="22">
        <v>0</v>
      </c>
      <c r="S169" s="22">
        <v>0</v>
      </c>
      <c r="T169" s="22">
        <f>5757-5757</f>
        <v>0</v>
      </c>
      <c r="U169" s="22">
        <f t="shared" si="9"/>
        <v>4100</v>
      </c>
    </row>
    <row r="170" spans="1:21" s="7" customFormat="1" ht="46.5" hidden="1" customHeight="1" outlineLevel="1" x14ac:dyDescent="0.2">
      <c r="A170" s="33"/>
      <c r="B170" s="32"/>
      <c r="C170" s="153" t="s">
        <v>146</v>
      </c>
      <c r="D170" s="101">
        <v>2023</v>
      </c>
      <c r="E170" s="35"/>
      <c r="F170" s="34" t="s">
        <v>11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6">
        <v>0</v>
      </c>
      <c r="M170" s="6">
        <v>0</v>
      </c>
      <c r="N170" s="6">
        <f t="shared" si="8"/>
        <v>0</v>
      </c>
      <c r="O170" s="6">
        <v>720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f t="shared" si="9"/>
        <v>720</v>
      </c>
    </row>
    <row r="171" spans="1:21" s="7" customFormat="1" ht="45.75" hidden="1" customHeight="1" outlineLevel="1" x14ac:dyDescent="0.2">
      <c r="A171" s="33"/>
      <c r="B171" s="32"/>
      <c r="C171" s="153" t="s">
        <v>229</v>
      </c>
      <c r="D171" s="102" t="s">
        <v>73</v>
      </c>
      <c r="E171" s="36"/>
      <c r="F171" s="79" t="s">
        <v>11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5">
        <v>0</v>
      </c>
      <c r="M171" s="65">
        <v>0</v>
      </c>
      <c r="N171" s="6">
        <f t="shared" si="8"/>
        <v>0</v>
      </c>
      <c r="O171" s="65">
        <v>0</v>
      </c>
      <c r="P171" s="6">
        <v>273</v>
      </c>
      <c r="Q171" s="66">
        <v>0</v>
      </c>
      <c r="R171" s="66">
        <v>0</v>
      </c>
      <c r="S171" s="66">
        <v>0</v>
      </c>
      <c r="T171" s="65">
        <f>700-700</f>
        <v>0</v>
      </c>
      <c r="U171" s="6">
        <f t="shared" si="9"/>
        <v>273</v>
      </c>
    </row>
    <row r="172" spans="1:21" s="7" customFormat="1" ht="39.75" customHeight="1" collapsed="1" x14ac:dyDescent="0.2">
      <c r="A172" s="33"/>
      <c r="B172" s="32"/>
      <c r="C172" s="153" t="s">
        <v>147</v>
      </c>
      <c r="D172" s="102" t="s">
        <v>73</v>
      </c>
      <c r="E172" s="32"/>
      <c r="F172" s="79" t="s">
        <v>11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5">
        <v>0</v>
      </c>
      <c r="M172" s="65">
        <v>0</v>
      </c>
      <c r="N172" s="6">
        <f t="shared" si="8"/>
        <v>0</v>
      </c>
      <c r="O172" s="65">
        <v>0</v>
      </c>
      <c r="P172" s="6">
        <v>3550</v>
      </c>
      <c r="Q172" s="65">
        <v>0</v>
      </c>
      <c r="R172" s="65">
        <v>0</v>
      </c>
      <c r="S172" s="6">
        <f>4250-4250</f>
        <v>0</v>
      </c>
      <c r="T172" s="65">
        <v>0</v>
      </c>
      <c r="U172" s="6">
        <f t="shared" si="9"/>
        <v>3550</v>
      </c>
    </row>
    <row r="173" spans="1:21" s="7" customFormat="1" ht="48" hidden="1" customHeight="1" outlineLevel="1" x14ac:dyDescent="0.2">
      <c r="A173" s="33"/>
      <c r="B173" s="32"/>
      <c r="C173" s="153" t="s">
        <v>222</v>
      </c>
      <c r="D173" s="102" t="s">
        <v>73</v>
      </c>
      <c r="E173" s="32"/>
      <c r="F173" s="79" t="s">
        <v>11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5">
        <v>0</v>
      </c>
      <c r="M173" s="65">
        <v>0</v>
      </c>
      <c r="N173" s="6">
        <f t="shared" si="8"/>
        <v>0</v>
      </c>
      <c r="O173" s="65">
        <v>0</v>
      </c>
      <c r="P173" s="6">
        <v>1150</v>
      </c>
      <c r="Q173" s="66">
        <v>0</v>
      </c>
      <c r="R173" s="66">
        <v>0</v>
      </c>
      <c r="S173" s="66">
        <v>0</v>
      </c>
      <c r="T173" s="65">
        <f>700-700</f>
        <v>0</v>
      </c>
      <c r="U173" s="6">
        <f t="shared" si="9"/>
        <v>1150</v>
      </c>
    </row>
    <row r="174" spans="1:21" s="7" customFormat="1" ht="43.5" hidden="1" customHeight="1" outlineLevel="1" x14ac:dyDescent="0.2">
      <c r="A174" s="33"/>
      <c r="B174" s="32"/>
      <c r="C174" s="153" t="s">
        <v>223</v>
      </c>
      <c r="D174" s="102" t="s">
        <v>73</v>
      </c>
      <c r="E174" s="32"/>
      <c r="F174" s="79" t="s">
        <v>11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5">
        <v>0</v>
      </c>
      <c r="M174" s="65">
        <v>0</v>
      </c>
      <c r="N174" s="6">
        <f t="shared" si="8"/>
        <v>0</v>
      </c>
      <c r="O174" s="65">
        <v>0</v>
      </c>
      <c r="P174" s="6">
        <v>420</v>
      </c>
      <c r="Q174" s="66">
        <v>0</v>
      </c>
      <c r="R174" s="66">
        <v>0</v>
      </c>
      <c r="S174" s="66">
        <v>0</v>
      </c>
      <c r="T174" s="65">
        <f>700-700</f>
        <v>0</v>
      </c>
      <c r="U174" s="6">
        <f t="shared" si="9"/>
        <v>420</v>
      </c>
    </row>
    <row r="175" spans="1:21" s="7" customFormat="1" ht="43.5" hidden="1" customHeight="1" outlineLevel="1" x14ac:dyDescent="0.2">
      <c r="A175" s="33"/>
      <c r="B175" s="32"/>
      <c r="C175" s="153" t="s">
        <v>224</v>
      </c>
      <c r="D175" s="102" t="s">
        <v>73</v>
      </c>
      <c r="E175" s="32"/>
      <c r="F175" s="79" t="s">
        <v>11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5">
        <v>0</v>
      </c>
      <c r="M175" s="65">
        <v>0</v>
      </c>
      <c r="N175" s="6">
        <f t="shared" si="8"/>
        <v>0</v>
      </c>
      <c r="O175" s="65">
        <v>0</v>
      </c>
      <c r="P175" s="6">
        <v>5700</v>
      </c>
      <c r="Q175" s="66">
        <v>0</v>
      </c>
      <c r="R175" s="66">
        <v>0</v>
      </c>
      <c r="S175" s="66">
        <v>0</v>
      </c>
      <c r="T175" s="65">
        <f>700-700</f>
        <v>0</v>
      </c>
      <c r="U175" s="6">
        <f t="shared" si="9"/>
        <v>5700</v>
      </c>
    </row>
    <row r="176" spans="1:21" s="91" customFormat="1" ht="42" customHeight="1" collapsed="1" x14ac:dyDescent="0.2">
      <c r="A176" s="33"/>
      <c r="B176" s="32"/>
      <c r="C176" s="153" t="s">
        <v>225</v>
      </c>
      <c r="D176" s="102" t="s">
        <v>73</v>
      </c>
      <c r="E176" s="32"/>
      <c r="F176" s="79" t="s">
        <v>11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5">
        <v>0</v>
      </c>
      <c r="M176" s="65">
        <v>0</v>
      </c>
      <c r="N176" s="6">
        <f t="shared" si="8"/>
        <v>0</v>
      </c>
      <c r="O176" s="66">
        <v>0</v>
      </c>
      <c r="P176" s="66">
        <v>0</v>
      </c>
      <c r="Q176" s="66">
        <v>0</v>
      </c>
      <c r="R176" s="65">
        <v>0</v>
      </c>
      <c r="S176" s="65">
        <v>0</v>
      </c>
      <c r="T176" s="6">
        <f>8500-8500</f>
        <v>0</v>
      </c>
      <c r="U176" s="6">
        <f t="shared" si="9"/>
        <v>0</v>
      </c>
    </row>
    <row r="177" spans="1:21" s="7" customFormat="1" ht="45.75" hidden="1" customHeight="1" outlineLevel="1" x14ac:dyDescent="0.2">
      <c r="A177" s="33"/>
      <c r="B177" s="32"/>
      <c r="C177" s="153" t="s">
        <v>226</v>
      </c>
      <c r="D177" s="102" t="s">
        <v>73</v>
      </c>
      <c r="E177" s="32"/>
      <c r="F177" s="79" t="s">
        <v>11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5">
        <v>0</v>
      </c>
      <c r="M177" s="65">
        <v>0</v>
      </c>
      <c r="N177" s="6">
        <f t="shared" si="8"/>
        <v>0</v>
      </c>
      <c r="O177" s="66">
        <v>0</v>
      </c>
      <c r="P177" s="6">
        <v>12500</v>
      </c>
      <c r="Q177" s="66">
        <v>0</v>
      </c>
      <c r="R177" s="66">
        <v>0</v>
      </c>
      <c r="S177" s="66">
        <v>0</v>
      </c>
      <c r="T177" s="65">
        <f>700-700</f>
        <v>0</v>
      </c>
      <c r="U177" s="6">
        <f t="shared" si="9"/>
        <v>12500</v>
      </c>
    </row>
    <row r="178" spans="1:21" s="7" customFormat="1" ht="41.25" hidden="1" customHeight="1" outlineLevel="1" x14ac:dyDescent="0.2">
      <c r="A178" s="33"/>
      <c r="B178" s="32"/>
      <c r="C178" s="153" t="s">
        <v>227</v>
      </c>
      <c r="D178" s="102" t="s">
        <v>73</v>
      </c>
      <c r="E178" s="32"/>
      <c r="F178" s="79" t="s">
        <v>11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5">
        <v>0</v>
      </c>
      <c r="M178" s="65">
        <v>0</v>
      </c>
      <c r="N178" s="6">
        <f t="shared" si="8"/>
        <v>0</v>
      </c>
      <c r="O178" s="66">
        <v>0</v>
      </c>
      <c r="P178" s="6">
        <v>5400</v>
      </c>
      <c r="Q178" s="66">
        <v>0</v>
      </c>
      <c r="R178" s="66">
        <v>0</v>
      </c>
      <c r="S178" s="66">
        <v>0</v>
      </c>
      <c r="T178" s="65">
        <f>700-700</f>
        <v>0</v>
      </c>
      <c r="U178" s="6">
        <f t="shared" si="9"/>
        <v>5400</v>
      </c>
    </row>
    <row r="179" spans="1:21" s="7" customFormat="1" ht="46.5" hidden="1" customHeight="1" outlineLevel="1" x14ac:dyDescent="0.2">
      <c r="A179" s="76"/>
      <c r="B179" s="77"/>
      <c r="C179" s="153" t="s">
        <v>228</v>
      </c>
      <c r="D179" s="102" t="s">
        <v>73</v>
      </c>
      <c r="E179" s="77"/>
      <c r="F179" s="79" t="s">
        <v>11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5">
        <v>0</v>
      </c>
      <c r="M179" s="65">
        <v>0</v>
      </c>
      <c r="N179" s="6">
        <f t="shared" si="8"/>
        <v>0</v>
      </c>
      <c r="O179" s="66">
        <v>0</v>
      </c>
      <c r="P179" s="6">
        <v>2800</v>
      </c>
      <c r="Q179" s="66">
        <v>0</v>
      </c>
      <c r="R179" s="66">
        <v>0</v>
      </c>
      <c r="S179" s="66">
        <v>0</v>
      </c>
      <c r="T179" s="65">
        <f>700-700</f>
        <v>0</v>
      </c>
      <c r="U179" s="6">
        <f t="shared" si="9"/>
        <v>2800</v>
      </c>
    </row>
    <row r="180" spans="1:21" s="7" customFormat="1" ht="40.5" hidden="1" customHeight="1" outlineLevel="1" x14ac:dyDescent="0.2">
      <c r="A180" s="33"/>
      <c r="B180" s="32"/>
      <c r="C180" s="153" t="s">
        <v>243</v>
      </c>
      <c r="D180" s="102" t="s">
        <v>73</v>
      </c>
      <c r="E180" s="32"/>
      <c r="F180" s="79" t="s">
        <v>11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5">
        <v>0</v>
      </c>
      <c r="M180" s="65">
        <v>0</v>
      </c>
      <c r="N180" s="6">
        <f t="shared" si="8"/>
        <v>0</v>
      </c>
      <c r="O180" s="66">
        <v>0</v>
      </c>
      <c r="P180" s="6">
        <v>650</v>
      </c>
      <c r="Q180" s="66">
        <v>0</v>
      </c>
      <c r="R180" s="6">
        <v>0</v>
      </c>
      <c r="S180" s="66">
        <v>0</v>
      </c>
      <c r="T180" s="6">
        <v>824</v>
      </c>
      <c r="U180" s="6">
        <f t="shared" si="9"/>
        <v>1474</v>
      </c>
    </row>
    <row r="181" spans="1:21" s="7" customFormat="1" ht="42" customHeight="1" collapsed="1" x14ac:dyDescent="0.2">
      <c r="A181" s="33"/>
      <c r="B181" s="32"/>
      <c r="C181" s="153" t="s">
        <v>148</v>
      </c>
      <c r="D181" s="102" t="s">
        <v>73</v>
      </c>
      <c r="E181" s="32"/>
      <c r="F181" s="79" t="s">
        <v>11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5">
        <v>0</v>
      </c>
      <c r="M181" s="65">
        <v>0</v>
      </c>
      <c r="N181" s="6">
        <f t="shared" si="8"/>
        <v>0</v>
      </c>
      <c r="O181" s="66">
        <v>0</v>
      </c>
      <c r="P181" s="66">
        <v>0</v>
      </c>
      <c r="Q181" s="66">
        <v>0</v>
      </c>
      <c r="R181" s="65">
        <v>0</v>
      </c>
      <c r="S181" s="6">
        <f>667-667</f>
        <v>0</v>
      </c>
      <c r="T181" s="66">
        <v>0</v>
      </c>
      <c r="U181" s="6">
        <f t="shared" si="9"/>
        <v>0</v>
      </c>
    </row>
    <row r="182" spans="1:21" s="7" customFormat="1" ht="40.5" customHeight="1" x14ac:dyDescent="0.2">
      <c r="A182" s="33"/>
      <c r="B182" s="32"/>
      <c r="C182" s="153" t="s">
        <v>149</v>
      </c>
      <c r="D182" s="102" t="s">
        <v>73</v>
      </c>
      <c r="E182" s="32"/>
      <c r="F182" s="79" t="s">
        <v>11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5">
        <v>0</v>
      </c>
      <c r="M182" s="65">
        <v>0</v>
      </c>
      <c r="N182" s="6">
        <f t="shared" si="8"/>
        <v>0</v>
      </c>
      <c r="O182" s="66">
        <v>0</v>
      </c>
      <c r="P182" s="66">
        <v>0</v>
      </c>
      <c r="Q182" s="66">
        <v>0</v>
      </c>
      <c r="R182" s="65">
        <v>0</v>
      </c>
      <c r="S182" s="6">
        <f>120-120</f>
        <v>0</v>
      </c>
      <c r="T182" s="66">
        <v>0</v>
      </c>
      <c r="U182" s="6">
        <f t="shared" si="9"/>
        <v>0</v>
      </c>
    </row>
    <row r="183" spans="1:21" s="7" customFormat="1" ht="41.25" customHeight="1" x14ac:dyDescent="0.2">
      <c r="A183" s="33"/>
      <c r="B183" s="32"/>
      <c r="C183" s="154" t="s">
        <v>231</v>
      </c>
      <c r="D183" s="102" t="s">
        <v>73</v>
      </c>
      <c r="E183" s="32"/>
      <c r="F183" s="79" t="s">
        <v>11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5">
        <v>0</v>
      </c>
      <c r="M183" s="65">
        <v>0</v>
      </c>
      <c r="N183" s="6">
        <f t="shared" si="8"/>
        <v>0</v>
      </c>
      <c r="O183" s="66">
        <v>0</v>
      </c>
      <c r="P183" s="66">
        <v>0</v>
      </c>
      <c r="Q183" s="65">
        <v>0</v>
      </c>
      <c r="R183" s="6">
        <f>160-160</f>
        <v>0</v>
      </c>
      <c r="S183" s="66">
        <v>0</v>
      </c>
      <c r="T183" s="6">
        <v>179</v>
      </c>
      <c r="U183" s="6">
        <f t="shared" si="9"/>
        <v>179</v>
      </c>
    </row>
    <row r="184" spans="1:21" s="7" customFormat="1" ht="39" customHeight="1" x14ac:dyDescent="0.2">
      <c r="A184" s="33"/>
      <c r="B184" s="32"/>
      <c r="C184" s="155" t="s">
        <v>150</v>
      </c>
      <c r="D184" s="103" t="s">
        <v>73</v>
      </c>
      <c r="E184" s="32"/>
      <c r="F184" s="79" t="s">
        <v>11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5">
        <v>0</v>
      </c>
      <c r="M184" s="65">
        <v>0</v>
      </c>
      <c r="N184" s="6">
        <f t="shared" si="8"/>
        <v>0</v>
      </c>
      <c r="O184" s="66">
        <v>0</v>
      </c>
      <c r="P184" s="66">
        <v>0</v>
      </c>
      <c r="Q184" s="65">
        <v>0</v>
      </c>
      <c r="R184" s="6">
        <f>120-120</f>
        <v>0</v>
      </c>
      <c r="S184" s="66">
        <v>0</v>
      </c>
      <c r="T184" s="65">
        <v>0</v>
      </c>
      <c r="U184" s="6">
        <f t="shared" si="9"/>
        <v>0</v>
      </c>
    </row>
    <row r="185" spans="1:21" s="7" customFormat="1" ht="45" customHeight="1" x14ac:dyDescent="0.2">
      <c r="A185" s="33"/>
      <c r="B185" s="32"/>
      <c r="C185" s="153" t="s">
        <v>151</v>
      </c>
      <c r="D185" s="102" t="s">
        <v>73</v>
      </c>
      <c r="E185" s="32"/>
      <c r="F185" s="79" t="s">
        <v>11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5">
        <v>0</v>
      </c>
      <c r="M185" s="65">
        <v>0</v>
      </c>
      <c r="N185" s="6">
        <f t="shared" si="8"/>
        <v>0</v>
      </c>
      <c r="O185" s="66">
        <v>0</v>
      </c>
      <c r="P185" s="66">
        <v>0</v>
      </c>
      <c r="Q185" s="66">
        <v>0</v>
      </c>
      <c r="R185" s="65">
        <v>0</v>
      </c>
      <c r="S185" s="6">
        <f>154-154</f>
        <v>0</v>
      </c>
      <c r="T185" s="66">
        <v>0</v>
      </c>
      <c r="U185" s="6">
        <f t="shared" si="9"/>
        <v>0</v>
      </c>
    </row>
    <row r="186" spans="1:21" s="7" customFormat="1" ht="42.75" customHeight="1" x14ac:dyDescent="0.2">
      <c r="A186" s="33"/>
      <c r="B186" s="32"/>
      <c r="C186" s="153" t="s">
        <v>230</v>
      </c>
      <c r="D186" s="102" t="s">
        <v>73</v>
      </c>
      <c r="E186" s="32"/>
      <c r="F186" s="79" t="s">
        <v>11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5">
        <v>0</v>
      </c>
      <c r="M186" s="65">
        <v>0</v>
      </c>
      <c r="N186" s="6">
        <f t="shared" si="8"/>
        <v>0</v>
      </c>
      <c r="O186" s="66">
        <v>0</v>
      </c>
      <c r="P186" s="66">
        <v>0</v>
      </c>
      <c r="Q186" s="66">
        <v>0</v>
      </c>
      <c r="R186" s="65">
        <v>0</v>
      </c>
      <c r="S186" s="6">
        <f>1343-1343</f>
        <v>0</v>
      </c>
      <c r="T186" s="66">
        <v>0</v>
      </c>
      <c r="U186" s="6">
        <f t="shared" si="9"/>
        <v>0</v>
      </c>
    </row>
    <row r="187" spans="1:21" s="7" customFormat="1" ht="39" customHeight="1" x14ac:dyDescent="0.2">
      <c r="A187" s="33"/>
      <c r="B187" s="32"/>
      <c r="C187" s="153" t="s">
        <v>233</v>
      </c>
      <c r="D187" s="102" t="s">
        <v>73</v>
      </c>
      <c r="E187" s="32"/>
      <c r="F187" s="79" t="s">
        <v>11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5">
        <v>0</v>
      </c>
      <c r="M187" s="65">
        <v>0</v>
      </c>
      <c r="N187" s="6">
        <f t="shared" si="8"/>
        <v>0</v>
      </c>
      <c r="O187" s="66">
        <v>0</v>
      </c>
      <c r="P187" s="66">
        <v>0</v>
      </c>
      <c r="Q187" s="66">
        <v>0</v>
      </c>
      <c r="R187" s="65">
        <v>0</v>
      </c>
      <c r="S187" s="6">
        <f>150-150</f>
        <v>0</v>
      </c>
      <c r="T187" s="66">
        <v>0</v>
      </c>
      <c r="U187" s="6">
        <f t="shared" si="9"/>
        <v>0</v>
      </c>
    </row>
    <row r="188" spans="1:21" s="7" customFormat="1" ht="43.5" hidden="1" customHeight="1" outlineLevel="1" x14ac:dyDescent="0.2">
      <c r="A188" s="33"/>
      <c r="B188" s="32"/>
      <c r="C188" s="153" t="s">
        <v>234</v>
      </c>
      <c r="D188" s="102" t="s">
        <v>73</v>
      </c>
      <c r="E188" s="32"/>
      <c r="F188" s="79" t="s">
        <v>11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5">
        <v>0</v>
      </c>
      <c r="M188" s="65">
        <v>0</v>
      </c>
      <c r="N188" s="6">
        <f t="shared" si="8"/>
        <v>0</v>
      </c>
      <c r="O188" s="66">
        <v>0</v>
      </c>
      <c r="P188" s="66">
        <v>0</v>
      </c>
      <c r="Q188" s="66">
        <v>0</v>
      </c>
      <c r="R188" s="65">
        <v>0</v>
      </c>
      <c r="S188" s="66">
        <v>0</v>
      </c>
      <c r="T188" s="6">
        <v>190</v>
      </c>
      <c r="U188" s="6">
        <f t="shared" si="9"/>
        <v>190</v>
      </c>
    </row>
    <row r="189" spans="1:21" s="7" customFormat="1" ht="39.75" customHeight="1" collapsed="1" x14ac:dyDescent="0.2">
      <c r="A189" s="33"/>
      <c r="B189" s="32"/>
      <c r="C189" s="153" t="s">
        <v>274</v>
      </c>
      <c r="D189" s="102" t="s">
        <v>73</v>
      </c>
      <c r="E189" s="32"/>
      <c r="F189" s="79" t="s">
        <v>11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5">
        <v>0</v>
      </c>
      <c r="M189" s="65">
        <v>0</v>
      </c>
      <c r="N189" s="6">
        <f t="shared" si="8"/>
        <v>0</v>
      </c>
      <c r="O189" s="66">
        <v>0</v>
      </c>
      <c r="P189" s="66">
        <v>0</v>
      </c>
      <c r="Q189" s="66">
        <v>0</v>
      </c>
      <c r="R189" s="65">
        <v>0</v>
      </c>
      <c r="S189" s="6">
        <f>134-134</f>
        <v>0</v>
      </c>
      <c r="T189" s="66">
        <v>0</v>
      </c>
      <c r="U189" s="6">
        <f t="shared" si="9"/>
        <v>0</v>
      </c>
    </row>
    <row r="190" spans="1:21" s="7" customFormat="1" ht="37.5" customHeight="1" x14ac:dyDescent="0.2">
      <c r="A190" s="33"/>
      <c r="B190" s="32"/>
      <c r="C190" s="153" t="s">
        <v>235</v>
      </c>
      <c r="D190" s="102" t="s">
        <v>73</v>
      </c>
      <c r="E190" s="32"/>
      <c r="F190" s="79" t="s">
        <v>11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5">
        <v>0</v>
      </c>
      <c r="M190" s="65">
        <v>0</v>
      </c>
      <c r="N190" s="6">
        <f t="shared" si="8"/>
        <v>0</v>
      </c>
      <c r="O190" s="66">
        <v>0</v>
      </c>
      <c r="P190" s="66">
        <v>0</v>
      </c>
      <c r="Q190" s="66">
        <v>0</v>
      </c>
      <c r="R190" s="65">
        <v>0</v>
      </c>
      <c r="S190" s="6">
        <f>196-196</f>
        <v>0</v>
      </c>
      <c r="T190" s="66">
        <v>0</v>
      </c>
      <c r="U190" s="6">
        <f t="shared" si="9"/>
        <v>0</v>
      </c>
    </row>
    <row r="191" spans="1:21" s="91" customFormat="1" ht="40.5" customHeight="1" x14ac:dyDescent="0.2">
      <c r="A191" s="33"/>
      <c r="B191" s="32"/>
      <c r="C191" s="153" t="s">
        <v>152</v>
      </c>
      <c r="D191" s="102" t="s">
        <v>73</v>
      </c>
      <c r="E191" s="32"/>
      <c r="F191" s="79" t="s">
        <v>11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5">
        <v>0</v>
      </c>
      <c r="M191" s="65">
        <v>0</v>
      </c>
      <c r="N191" s="6">
        <f t="shared" si="8"/>
        <v>0</v>
      </c>
      <c r="O191" s="66">
        <v>0</v>
      </c>
      <c r="P191" s="66">
        <v>0</v>
      </c>
      <c r="Q191" s="66">
        <v>0</v>
      </c>
      <c r="R191" s="65">
        <v>0</v>
      </c>
      <c r="S191" s="6">
        <f>5600-5600</f>
        <v>0</v>
      </c>
      <c r="T191" s="66">
        <v>0</v>
      </c>
      <c r="U191" s="6">
        <f t="shared" si="9"/>
        <v>0</v>
      </c>
    </row>
    <row r="192" spans="1:21" s="91" customFormat="1" ht="40.5" customHeight="1" x14ac:dyDescent="0.2">
      <c r="A192" s="31"/>
      <c r="B192" s="32"/>
      <c r="C192" s="154" t="s">
        <v>280</v>
      </c>
      <c r="D192" s="102" t="s">
        <v>73</v>
      </c>
      <c r="E192" s="32"/>
      <c r="F192" s="79" t="s">
        <v>11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5">
        <v>0</v>
      </c>
      <c r="M192" s="65">
        <v>0</v>
      </c>
      <c r="N192" s="6">
        <f t="shared" si="8"/>
        <v>0</v>
      </c>
      <c r="O192" s="66">
        <v>0</v>
      </c>
      <c r="P192" s="66">
        <v>0</v>
      </c>
      <c r="Q192" s="66">
        <v>0</v>
      </c>
      <c r="R192" s="65">
        <v>0</v>
      </c>
      <c r="S192" s="6">
        <f>3358-3358</f>
        <v>0</v>
      </c>
      <c r="T192" s="66">
        <v>0</v>
      </c>
      <c r="U192" s="6">
        <f t="shared" si="9"/>
        <v>0</v>
      </c>
    </row>
    <row r="193" spans="1:21" s="7" customFormat="1" ht="44.25" hidden="1" customHeight="1" outlineLevel="1" x14ac:dyDescent="0.2">
      <c r="A193" s="33"/>
      <c r="B193" s="32"/>
      <c r="C193" s="116" t="s">
        <v>153</v>
      </c>
      <c r="D193" s="103" t="s">
        <v>73</v>
      </c>
      <c r="E193" s="32"/>
      <c r="F193" s="193" t="s">
        <v>11</v>
      </c>
      <c r="G193" s="194">
        <v>0</v>
      </c>
      <c r="H193" s="194">
        <v>0</v>
      </c>
      <c r="I193" s="194">
        <v>0</v>
      </c>
      <c r="J193" s="194">
        <v>0</v>
      </c>
      <c r="K193" s="194">
        <v>0</v>
      </c>
      <c r="L193" s="195">
        <v>0</v>
      </c>
      <c r="M193" s="195">
        <v>0</v>
      </c>
      <c r="N193" s="22">
        <f t="shared" si="8"/>
        <v>0</v>
      </c>
      <c r="O193" s="194">
        <v>0</v>
      </c>
      <c r="P193" s="194">
        <v>0</v>
      </c>
      <c r="Q193" s="194">
        <v>0</v>
      </c>
      <c r="R193" s="195">
        <v>0</v>
      </c>
      <c r="S193" s="195">
        <v>0</v>
      </c>
      <c r="T193" s="22">
        <v>300</v>
      </c>
      <c r="U193" s="22">
        <f t="shared" si="9"/>
        <v>300</v>
      </c>
    </row>
    <row r="194" spans="1:21" s="7" customFormat="1" ht="71.25" hidden="1" customHeight="1" outlineLevel="1" x14ac:dyDescent="0.2">
      <c r="A194" s="33"/>
      <c r="B194" s="32"/>
      <c r="C194" s="37" t="s">
        <v>232</v>
      </c>
      <c r="D194" s="102" t="s">
        <v>73</v>
      </c>
      <c r="E194" s="32"/>
      <c r="F194" s="79" t="s">
        <v>11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5">
        <v>0</v>
      </c>
      <c r="M194" s="65">
        <v>0</v>
      </c>
      <c r="N194" s="6">
        <f t="shared" si="8"/>
        <v>0</v>
      </c>
      <c r="O194" s="66">
        <v>0</v>
      </c>
      <c r="P194" s="6">
        <v>800</v>
      </c>
      <c r="Q194" s="66">
        <v>0</v>
      </c>
      <c r="R194" s="65">
        <v>0</v>
      </c>
      <c r="S194" s="65">
        <v>0</v>
      </c>
      <c r="T194" s="66">
        <v>0</v>
      </c>
      <c r="U194" s="6">
        <f t="shared" si="9"/>
        <v>800</v>
      </c>
    </row>
    <row r="195" spans="1:21" s="7" customFormat="1" ht="69" customHeight="1" collapsed="1" x14ac:dyDescent="0.2">
      <c r="A195" s="31"/>
      <c r="B195" s="32"/>
      <c r="C195" s="37" t="s">
        <v>281</v>
      </c>
      <c r="D195" s="102" t="s">
        <v>73</v>
      </c>
      <c r="E195" s="32"/>
      <c r="F195" s="79" t="s">
        <v>11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5">
        <v>0</v>
      </c>
      <c r="M195" s="65">
        <v>0</v>
      </c>
      <c r="N195" s="6">
        <f t="shared" si="8"/>
        <v>0</v>
      </c>
      <c r="O195" s="66">
        <v>0</v>
      </c>
      <c r="P195" s="66">
        <v>0</v>
      </c>
      <c r="Q195" s="6">
        <f>25000-25000</f>
        <v>0</v>
      </c>
      <c r="R195" s="65">
        <v>0</v>
      </c>
      <c r="S195" s="65">
        <v>0</v>
      </c>
      <c r="T195" s="66">
        <v>0</v>
      </c>
      <c r="U195" s="6">
        <f t="shared" si="9"/>
        <v>0</v>
      </c>
    </row>
    <row r="196" spans="1:21" s="7" customFormat="1" ht="3.75" hidden="1" customHeight="1" outlineLevel="1" x14ac:dyDescent="0.2">
      <c r="A196" s="33"/>
      <c r="B196" s="32"/>
      <c r="C196" s="115" t="s">
        <v>245</v>
      </c>
      <c r="D196" s="157" t="s">
        <v>73</v>
      </c>
      <c r="E196" s="32"/>
      <c r="F196" s="158" t="s">
        <v>11</v>
      </c>
      <c r="G196" s="159">
        <v>0</v>
      </c>
      <c r="H196" s="159">
        <v>0</v>
      </c>
      <c r="I196" s="159">
        <v>0</v>
      </c>
      <c r="J196" s="159">
        <v>0</v>
      </c>
      <c r="K196" s="159">
        <v>0</v>
      </c>
      <c r="L196" s="160">
        <v>0</v>
      </c>
      <c r="M196" s="160">
        <v>0</v>
      </c>
      <c r="N196" s="143">
        <f t="shared" si="8"/>
        <v>0</v>
      </c>
      <c r="O196" s="159">
        <v>0</v>
      </c>
      <c r="P196" s="143">
        <v>2663.3</v>
      </c>
      <c r="Q196" s="159">
        <v>0</v>
      </c>
      <c r="R196" s="160">
        <v>0</v>
      </c>
      <c r="S196" s="160">
        <v>0</v>
      </c>
      <c r="T196" s="159">
        <v>0</v>
      </c>
      <c r="U196" s="143">
        <f t="shared" si="9"/>
        <v>2663.3</v>
      </c>
    </row>
    <row r="197" spans="1:21" s="7" customFormat="1" ht="57" customHeight="1" collapsed="1" x14ac:dyDescent="0.2">
      <c r="A197" s="31"/>
      <c r="B197" s="32"/>
      <c r="C197" s="117" t="s">
        <v>275</v>
      </c>
      <c r="D197" s="102" t="s">
        <v>73</v>
      </c>
      <c r="E197" s="32"/>
      <c r="F197" s="79" t="s">
        <v>11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5">
        <v>0</v>
      </c>
      <c r="M197" s="65">
        <v>0</v>
      </c>
      <c r="N197" s="6">
        <f t="shared" si="8"/>
        <v>0</v>
      </c>
      <c r="O197" s="66">
        <v>0</v>
      </c>
      <c r="P197" s="66">
        <v>0</v>
      </c>
      <c r="Q197" s="6">
        <f>250000-250000</f>
        <v>0</v>
      </c>
      <c r="R197" s="65">
        <v>0</v>
      </c>
      <c r="S197" s="65">
        <v>0</v>
      </c>
      <c r="T197" s="66">
        <v>0</v>
      </c>
      <c r="U197" s="6">
        <f t="shared" si="9"/>
        <v>0</v>
      </c>
    </row>
    <row r="198" spans="1:21" s="7" customFormat="1" ht="43.5" hidden="1" customHeight="1" outlineLevel="1" x14ac:dyDescent="0.2">
      <c r="A198" s="76"/>
      <c r="B198" s="77"/>
      <c r="C198" s="30" t="s">
        <v>244</v>
      </c>
      <c r="D198" s="102" t="s">
        <v>73</v>
      </c>
      <c r="E198" s="77"/>
      <c r="F198" s="79" t="s">
        <v>11</v>
      </c>
      <c r="G198" s="66">
        <v>0</v>
      </c>
      <c r="H198" s="66">
        <v>0</v>
      </c>
      <c r="I198" s="66">
        <v>0</v>
      </c>
      <c r="J198" s="66">
        <v>0</v>
      </c>
      <c r="K198" s="66">
        <v>0</v>
      </c>
      <c r="L198" s="65">
        <v>0</v>
      </c>
      <c r="M198" s="65">
        <v>0</v>
      </c>
      <c r="N198" s="6">
        <f t="shared" si="8"/>
        <v>0</v>
      </c>
      <c r="O198" s="66">
        <v>0</v>
      </c>
      <c r="P198" s="6">
        <v>100</v>
      </c>
      <c r="Q198" s="66">
        <v>0</v>
      </c>
      <c r="R198" s="65">
        <v>0</v>
      </c>
      <c r="S198" s="65">
        <v>0</v>
      </c>
      <c r="T198" s="66">
        <v>0</v>
      </c>
      <c r="U198" s="6">
        <f t="shared" si="9"/>
        <v>100</v>
      </c>
    </row>
    <row r="199" spans="1:21" s="7" customFormat="1" ht="42.75" hidden="1" customHeight="1" outlineLevel="1" x14ac:dyDescent="0.2">
      <c r="A199" s="33"/>
      <c r="B199" s="32"/>
      <c r="C199" s="116" t="s">
        <v>154</v>
      </c>
      <c r="D199" s="103" t="s">
        <v>73</v>
      </c>
      <c r="E199" s="32"/>
      <c r="F199" s="79" t="s">
        <v>11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5">
        <v>0</v>
      </c>
      <c r="M199" s="65">
        <v>0</v>
      </c>
      <c r="N199" s="6">
        <f t="shared" si="8"/>
        <v>0</v>
      </c>
      <c r="O199" s="66">
        <v>0</v>
      </c>
      <c r="P199" s="6">
        <v>1950.5</v>
      </c>
      <c r="Q199" s="66">
        <v>0</v>
      </c>
      <c r="R199" s="65">
        <v>0</v>
      </c>
      <c r="S199" s="65">
        <v>0</v>
      </c>
      <c r="T199" s="66">
        <v>0</v>
      </c>
      <c r="U199" s="6">
        <f t="shared" si="9"/>
        <v>1950.5</v>
      </c>
    </row>
    <row r="200" spans="1:21" s="7" customFormat="1" ht="68.25" customHeight="1" collapsed="1" x14ac:dyDescent="0.2">
      <c r="A200" s="78"/>
      <c r="B200" s="77"/>
      <c r="C200" s="117" t="s">
        <v>261</v>
      </c>
      <c r="D200" s="102" t="s">
        <v>73</v>
      </c>
      <c r="E200" s="77"/>
      <c r="F200" s="79" t="s">
        <v>11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5">
        <v>0</v>
      </c>
      <c r="M200" s="65">
        <v>0</v>
      </c>
      <c r="N200" s="6">
        <f t="shared" si="8"/>
        <v>0</v>
      </c>
      <c r="O200" s="66">
        <v>0</v>
      </c>
      <c r="P200" s="6">
        <v>0</v>
      </c>
      <c r="Q200" s="66">
        <f>120-120</f>
        <v>0</v>
      </c>
      <c r="R200" s="65">
        <v>0</v>
      </c>
      <c r="S200" s="65">
        <v>0</v>
      </c>
      <c r="T200" s="66">
        <v>0</v>
      </c>
      <c r="U200" s="6">
        <f t="shared" si="9"/>
        <v>0</v>
      </c>
    </row>
    <row r="201" spans="1:21" s="7" customFormat="1" ht="67.5" customHeight="1" x14ac:dyDescent="0.2">
      <c r="A201" s="33"/>
      <c r="B201" s="32"/>
      <c r="C201" s="117" t="s">
        <v>203</v>
      </c>
      <c r="D201" s="102" t="s">
        <v>73</v>
      </c>
      <c r="E201" s="32"/>
      <c r="F201" s="79" t="s">
        <v>11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5">
        <v>0</v>
      </c>
      <c r="M201" s="65">
        <v>0</v>
      </c>
      <c r="N201" s="6">
        <f t="shared" si="8"/>
        <v>0</v>
      </c>
      <c r="O201" s="66">
        <v>0</v>
      </c>
      <c r="P201" s="6">
        <v>0</v>
      </c>
      <c r="Q201" s="66">
        <f>2280-2280</f>
        <v>0</v>
      </c>
      <c r="R201" s="65">
        <v>0</v>
      </c>
      <c r="S201" s="65">
        <v>0</v>
      </c>
      <c r="T201" s="66">
        <v>0</v>
      </c>
      <c r="U201" s="6">
        <f t="shared" si="9"/>
        <v>0</v>
      </c>
    </row>
    <row r="202" spans="1:21" s="7" customFormat="1" ht="77.25" customHeight="1" x14ac:dyDescent="0.2">
      <c r="A202" s="33"/>
      <c r="B202" s="32"/>
      <c r="C202" s="117" t="s">
        <v>247</v>
      </c>
      <c r="D202" s="102" t="s">
        <v>73</v>
      </c>
      <c r="E202" s="32"/>
      <c r="F202" s="79" t="s">
        <v>11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5">
        <v>0</v>
      </c>
      <c r="M202" s="65">
        <v>0</v>
      </c>
      <c r="N202" s="6">
        <f t="shared" si="8"/>
        <v>0</v>
      </c>
      <c r="O202" s="66">
        <v>0</v>
      </c>
      <c r="P202" s="6">
        <v>0</v>
      </c>
      <c r="Q202" s="66">
        <f>120-120</f>
        <v>0</v>
      </c>
      <c r="R202" s="65">
        <v>0</v>
      </c>
      <c r="S202" s="65">
        <v>0</v>
      </c>
      <c r="T202" s="66">
        <v>0</v>
      </c>
      <c r="U202" s="6">
        <f t="shared" si="9"/>
        <v>0</v>
      </c>
    </row>
    <row r="203" spans="1:21" s="7" customFormat="1" ht="72.75" customHeight="1" x14ac:dyDescent="0.2">
      <c r="A203" s="33"/>
      <c r="B203" s="32"/>
      <c r="C203" s="117" t="s">
        <v>214</v>
      </c>
      <c r="D203" s="102" t="s">
        <v>73</v>
      </c>
      <c r="E203" s="32"/>
      <c r="F203" s="79" t="s">
        <v>11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5">
        <v>0</v>
      </c>
      <c r="M203" s="65">
        <v>0</v>
      </c>
      <c r="N203" s="6">
        <f t="shared" si="8"/>
        <v>0</v>
      </c>
      <c r="O203" s="66">
        <v>0</v>
      </c>
      <c r="P203" s="6">
        <v>0</v>
      </c>
      <c r="Q203" s="66">
        <f>2380-2380</f>
        <v>0</v>
      </c>
      <c r="R203" s="65">
        <v>0</v>
      </c>
      <c r="S203" s="65">
        <v>0</v>
      </c>
      <c r="T203" s="66">
        <v>0</v>
      </c>
      <c r="U203" s="6">
        <f t="shared" si="9"/>
        <v>0</v>
      </c>
    </row>
    <row r="204" spans="1:21" s="7" customFormat="1" ht="56.25" customHeight="1" x14ac:dyDescent="0.2">
      <c r="A204" s="33"/>
      <c r="B204" s="32"/>
      <c r="C204" s="117" t="s">
        <v>240</v>
      </c>
      <c r="D204" s="102" t="s">
        <v>73</v>
      </c>
      <c r="E204" s="32"/>
      <c r="F204" s="79" t="s">
        <v>11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5">
        <v>0</v>
      </c>
      <c r="M204" s="65">
        <v>0</v>
      </c>
      <c r="N204" s="6">
        <f t="shared" si="8"/>
        <v>0</v>
      </c>
      <c r="O204" s="66">
        <v>0</v>
      </c>
      <c r="P204" s="65">
        <v>0</v>
      </c>
      <c r="Q204" s="66">
        <v>0</v>
      </c>
      <c r="R204" s="65">
        <f>370-370</f>
        <v>0</v>
      </c>
      <c r="S204" s="65">
        <v>0</v>
      </c>
      <c r="T204" s="66">
        <v>0</v>
      </c>
      <c r="U204" s="6">
        <f t="shared" si="9"/>
        <v>0</v>
      </c>
    </row>
    <row r="205" spans="1:21" s="7" customFormat="1" ht="71.25" customHeight="1" x14ac:dyDescent="0.2">
      <c r="A205" s="33"/>
      <c r="B205" s="32"/>
      <c r="C205" s="30" t="s">
        <v>246</v>
      </c>
      <c r="D205" s="102" t="s">
        <v>73</v>
      </c>
      <c r="E205" s="32"/>
      <c r="F205" s="79" t="s">
        <v>11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5">
        <v>0</v>
      </c>
      <c r="M205" s="65">
        <v>0</v>
      </c>
      <c r="N205" s="6">
        <f t="shared" si="8"/>
        <v>0</v>
      </c>
      <c r="O205" s="66">
        <v>0</v>
      </c>
      <c r="P205" s="65">
        <v>0</v>
      </c>
      <c r="Q205" s="66">
        <v>0</v>
      </c>
      <c r="R205" s="6">
        <f>10622.3-10622.3</f>
        <v>0</v>
      </c>
      <c r="S205" s="65">
        <v>0</v>
      </c>
      <c r="T205" s="66">
        <v>0</v>
      </c>
      <c r="U205" s="6">
        <f t="shared" si="9"/>
        <v>0</v>
      </c>
    </row>
    <row r="206" spans="1:21" s="7" customFormat="1" ht="61.5" customHeight="1" x14ac:dyDescent="0.2">
      <c r="A206" s="33"/>
      <c r="B206" s="32"/>
      <c r="C206" s="116" t="s">
        <v>236</v>
      </c>
      <c r="D206" s="103" t="s">
        <v>73</v>
      </c>
      <c r="E206" s="32"/>
      <c r="F206" s="79" t="s">
        <v>11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5">
        <v>0</v>
      </c>
      <c r="M206" s="65">
        <v>0</v>
      </c>
      <c r="N206" s="6">
        <f t="shared" ref="N206:N244" si="10">G206+H206+I206+J206+K206+L206+M206</f>
        <v>0</v>
      </c>
      <c r="O206" s="66">
        <v>0</v>
      </c>
      <c r="P206" s="65">
        <v>0</v>
      </c>
      <c r="Q206" s="66">
        <v>0</v>
      </c>
      <c r="R206" s="65">
        <v>0</v>
      </c>
      <c r="S206" s="65">
        <f>265-265</f>
        <v>0</v>
      </c>
      <c r="T206" s="66">
        <v>0</v>
      </c>
      <c r="U206" s="6">
        <f t="shared" si="9"/>
        <v>0</v>
      </c>
    </row>
    <row r="207" spans="1:21" s="7" customFormat="1" ht="55.5" hidden="1" customHeight="1" outlineLevel="1" x14ac:dyDescent="0.2">
      <c r="A207" s="33"/>
      <c r="B207" s="32"/>
      <c r="C207" s="117" t="s">
        <v>237</v>
      </c>
      <c r="D207" s="102" t="s">
        <v>73</v>
      </c>
      <c r="E207" s="32"/>
      <c r="F207" s="79" t="s">
        <v>11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5">
        <v>0</v>
      </c>
      <c r="M207" s="65">
        <v>0</v>
      </c>
      <c r="N207" s="6">
        <f t="shared" si="10"/>
        <v>0</v>
      </c>
      <c r="O207" s="66">
        <v>0</v>
      </c>
      <c r="P207" s="65">
        <v>0</v>
      </c>
      <c r="Q207" s="66">
        <v>0</v>
      </c>
      <c r="R207" s="65">
        <v>0</v>
      </c>
      <c r="S207" s="65">
        <v>0</v>
      </c>
      <c r="T207" s="65">
        <v>770</v>
      </c>
      <c r="U207" s="6">
        <f t="shared" si="9"/>
        <v>770</v>
      </c>
    </row>
    <row r="208" spans="1:21" s="7" customFormat="1" ht="44.25" customHeight="1" collapsed="1" x14ac:dyDescent="0.2">
      <c r="A208" s="33"/>
      <c r="B208" s="32"/>
      <c r="C208" s="117" t="s">
        <v>238</v>
      </c>
      <c r="D208" s="102" t="s">
        <v>73</v>
      </c>
      <c r="E208" s="32"/>
      <c r="F208" s="79" t="s">
        <v>11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5">
        <v>0</v>
      </c>
      <c r="M208" s="65">
        <v>0</v>
      </c>
      <c r="N208" s="6">
        <f t="shared" si="10"/>
        <v>0</v>
      </c>
      <c r="O208" s="66">
        <v>0</v>
      </c>
      <c r="P208" s="65">
        <v>0</v>
      </c>
      <c r="Q208" s="66">
        <v>0</v>
      </c>
      <c r="R208" s="66">
        <v>0</v>
      </c>
      <c r="S208" s="6">
        <f>845-845</f>
        <v>0</v>
      </c>
      <c r="T208" s="66">
        <v>0</v>
      </c>
      <c r="U208" s="6">
        <f t="shared" si="9"/>
        <v>0</v>
      </c>
    </row>
    <row r="209" spans="1:21" s="7" customFormat="1" ht="41.25" customHeight="1" x14ac:dyDescent="0.2">
      <c r="A209" s="33"/>
      <c r="B209" s="32"/>
      <c r="C209" s="117" t="s">
        <v>276</v>
      </c>
      <c r="D209" s="102" t="s">
        <v>73</v>
      </c>
      <c r="E209" s="32"/>
      <c r="F209" s="79" t="s">
        <v>11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5">
        <v>0</v>
      </c>
      <c r="M209" s="65">
        <v>0</v>
      </c>
      <c r="N209" s="6">
        <f t="shared" si="10"/>
        <v>0</v>
      </c>
      <c r="O209" s="66">
        <v>0</v>
      </c>
      <c r="P209" s="65">
        <v>0</v>
      </c>
      <c r="Q209" s="66">
        <v>0</v>
      </c>
      <c r="R209" s="66">
        <v>0</v>
      </c>
      <c r="S209" s="6">
        <f>1340-1340</f>
        <v>0</v>
      </c>
      <c r="T209" s="66">
        <v>0</v>
      </c>
      <c r="U209" s="6">
        <f t="shared" si="9"/>
        <v>0</v>
      </c>
    </row>
    <row r="210" spans="1:21" s="7" customFormat="1" ht="41.25" hidden="1" customHeight="1" outlineLevel="1" x14ac:dyDescent="0.2">
      <c r="A210" s="33"/>
      <c r="B210" s="32"/>
      <c r="C210" s="117" t="s">
        <v>204</v>
      </c>
      <c r="D210" s="102" t="s">
        <v>73</v>
      </c>
      <c r="E210" s="32"/>
      <c r="F210" s="79" t="s">
        <v>11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5">
        <v>0</v>
      </c>
      <c r="M210" s="65">
        <v>0</v>
      </c>
      <c r="N210" s="6">
        <f t="shared" si="10"/>
        <v>0</v>
      </c>
      <c r="O210" s="66">
        <v>0</v>
      </c>
      <c r="P210" s="65">
        <v>0</v>
      </c>
      <c r="Q210" s="66">
        <v>0</v>
      </c>
      <c r="R210" s="66">
        <v>0</v>
      </c>
      <c r="S210" s="66">
        <v>0</v>
      </c>
      <c r="T210" s="6">
        <v>890</v>
      </c>
      <c r="U210" s="6">
        <f t="shared" ref="U210:U217" si="11">SUM(G210:T210)-N210</f>
        <v>890</v>
      </c>
    </row>
    <row r="211" spans="1:21" s="7" customFormat="1" ht="46.5" hidden="1" customHeight="1" outlineLevel="1" x14ac:dyDescent="0.2">
      <c r="A211" s="33"/>
      <c r="B211" s="32"/>
      <c r="C211" s="117" t="s">
        <v>205</v>
      </c>
      <c r="D211" s="102" t="s">
        <v>73</v>
      </c>
      <c r="E211" s="32"/>
      <c r="F211" s="79" t="s">
        <v>11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5">
        <v>0</v>
      </c>
      <c r="M211" s="65">
        <v>0</v>
      </c>
      <c r="N211" s="6">
        <f t="shared" si="10"/>
        <v>0</v>
      </c>
      <c r="O211" s="66">
        <v>0</v>
      </c>
      <c r="P211" s="65">
        <v>0</v>
      </c>
      <c r="Q211" s="66">
        <v>0</v>
      </c>
      <c r="R211" s="66">
        <v>0</v>
      </c>
      <c r="S211" s="66">
        <v>0</v>
      </c>
      <c r="T211" s="6">
        <v>2460</v>
      </c>
      <c r="U211" s="6">
        <f t="shared" si="11"/>
        <v>2460</v>
      </c>
    </row>
    <row r="212" spans="1:21" s="7" customFormat="1" ht="67.5" customHeight="1" collapsed="1" x14ac:dyDescent="0.2">
      <c r="A212" s="33"/>
      <c r="B212" s="32"/>
      <c r="C212" s="117" t="s">
        <v>277</v>
      </c>
      <c r="D212" s="102" t="s">
        <v>73</v>
      </c>
      <c r="E212" s="32"/>
      <c r="F212" s="79" t="s">
        <v>11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5">
        <v>0</v>
      </c>
      <c r="M212" s="65">
        <v>0</v>
      </c>
      <c r="N212" s="6">
        <f t="shared" si="10"/>
        <v>0</v>
      </c>
      <c r="O212" s="66">
        <v>0</v>
      </c>
      <c r="P212" s="65">
        <v>0</v>
      </c>
      <c r="Q212" s="66">
        <v>0</v>
      </c>
      <c r="R212" s="6">
        <f>930-930</f>
        <v>0</v>
      </c>
      <c r="S212" s="65">
        <v>0</v>
      </c>
      <c r="T212" s="66">
        <v>0</v>
      </c>
      <c r="U212" s="6">
        <f t="shared" si="11"/>
        <v>0</v>
      </c>
    </row>
    <row r="213" spans="1:21" s="7" customFormat="1" ht="65.25" customHeight="1" x14ac:dyDescent="0.2">
      <c r="A213" s="33"/>
      <c r="B213" s="32"/>
      <c r="C213" s="117" t="s">
        <v>239</v>
      </c>
      <c r="D213" s="102" t="s">
        <v>73</v>
      </c>
      <c r="E213" s="32"/>
      <c r="F213" s="79" t="s">
        <v>11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5">
        <v>0</v>
      </c>
      <c r="M213" s="65">
        <v>0</v>
      </c>
      <c r="N213" s="6">
        <f t="shared" si="10"/>
        <v>0</v>
      </c>
      <c r="O213" s="66">
        <v>0</v>
      </c>
      <c r="P213" s="65">
        <v>0</v>
      </c>
      <c r="Q213" s="66">
        <v>0</v>
      </c>
      <c r="R213" s="66">
        <v>0</v>
      </c>
      <c r="S213" s="6">
        <f>9500-9500</f>
        <v>0</v>
      </c>
      <c r="T213" s="66">
        <v>0</v>
      </c>
      <c r="U213" s="6">
        <f t="shared" si="11"/>
        <v>0</v>
      </c>
    </row>
    <row r="214" spans="1:21" s="7" customFormat="1" ht="69.75" customHeight="1" x14ac:dyDescent="0.2">
      <c r="A214" s="31"/>
      <c r="B214" s="32"/>
      <c r="C214" s="30" t="s">
        <v>278</v>
      </c>
      <c r="D214" s="102" t="s">
        <v>73</v>
      </c>
      <c r="E214" s="32"/>
      <c r="F214" s="79" t="s">
        <v>11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5">
        <v>0</v>
      </c>
      <c r="M214" s="65">
        <v>0</v>
      </c>
      <c r="N214" s="6">
        <f t="shared" si="10"/>
        <v>0</v>
      </c>
      <c r="O214" s="66">
        <v>0</v>
      </c>
      <c r="P214" s="65">
        <v>0</v>
      </c>
      <c r="Q214" s="66">
        <v>0</v>
      </c>
      <c r="R214" s="66">
        <v>0</v>
      </c>
      <c r="S214" s="6">
        <f>980-980</f>
        <v>0</v>
      </c>
      <c r="T214" s="66">
        <v>0</v>
      </c>
      <c r="U214" s="6">
        <f t="shared" si="11"/>
        <v>0</v>
      </c>
    </row>
    <row r="215" spans="1:21" s="7" customFormat="1" ht="70.5" hidden="1" customHeight="1" outlineLevel="1" x14ac:dyDescent="0.2">
      <c r="A215" s="76"/>
      <c r="B215" s="77"/>
      <c r="C215" s="116" t="s">
        <v>206</v>
      </c>
      <c r="D215" s="103" t="s">
        <v>73</v>
      </c>
      <c r="E215" s="77"/>
      <c r="F215" s="79" t="s">
        <v>11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5">
        <v>0</v>
      </c>
      <c r="M215" s="65">
        <v>0</v>
      </c>
      <c r="N215" s="6">
        <f t="shared" si="10"/>
        <v>0</v>
      </c>
      <c r="O215" s="66">
        <v>0</v>
      </c>
      <c r="P215" s="65">
        <v>0</v>
      </c>
      <c r="Q215" s="66">
        <v>0</v>
      </c>
      <c r="R215" s="65">
        <v>0</v>
      </c>
      <c r="S215" s="66">
        <v>0</v>
      </c>
      <c r="T215" s="6">
        <v>10050</v>
      </c>
      <c r="U215" s="6">
        <f t="shared" si="11"/>
        <v>10050</v>
      </c>
    </row>
    <row r="216" spans="1:21" s="7" customFormat="1" ht="45.75" hidden="1" customHeight="1" outlineLevel="1" x14ac:dyDescent="0.2">
      <c r="A216" s="33"/>
      <c r="B216" s="32"/>
      <c r="C216" s="117" t="s">
        <v>155</v>
      </c>
      <c r="D216" s="102" t="s">
        <v>73</v>
      </c>
      <c r="E216" s="32"/>
      <c r="F216" s="79" t="s">
        <v>11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5">
        <v>0</v>
      </c>
      <c r="M216" s="65">
        <v>0</v>
      </c>
      <c r="N216" s="6">
        <f t="shared" si="10"/>
        <v>0</v>
      </c>
      <c r="O216" s="66">
        <v>0</v>
      </c>
      <c r="P216" s="6">
        <v>619</v>
      </c>
      <c r="Q216" s="66">
        <v>0</v>
      </c>
      <c r="R216" s="66">
        <v>0</v>
      </c>
      <c r="S216" s="65">
        <v>0</v>
      </c>
      <c r="T216" s="65">
        <v>0</v>
      </c>
      <c r="U216" s="6">
        <f t="shared" si="11"/>
        <v>619</v>
      </c>
    </row>
    <row r="217" spans="1:21" s="91" customFormat="1" ht="45.75" customHeight="1" collapsed="1" x14ac:dyDescent="0.2">
      <c r="A217" s="76"/>
      <c r="B217" s="77"/>
      <c r="C217" s="117" t="s">
        <v>251</v>
      </c>
      <c r="D217" s="102" t="s">
        <v>250</v>
      </c>
      <c r="E217" s="77"/>
      <c r="F217" s="79" t="s">
        <v>11</v>
      </c>
      <c r="G217" s="66"/>
      <c r="H217" s="66"/>
      <c r="I217" s="66"/>
      <c r="J217" s="66"/>
      <c r="K217" s="66"/>
      <c r="L217" s="65"/>
      <c r="M217" s="65"/>
      <c r="N217" s="6">
        <v>0</v>
      </c>
      <c r="O217" s="66">
        <v>0</v>
      </c>
      <c r="P217" s="6">
        <v>0</v>
      </c>
      <c r="Q217" s="66">
        <v>13300</v>
      </c>
      <c r="R217" s="66">
        <v>12700</v>
      </c>
      <c r="S217" s="65">
        <v>8958</v>
      </c>
      <c r="T217" s="65">
        <v>28017</v>
      </c>
      <c r="U217" s="6">
        <f t="shared" si="11"/>
        <v>62975</v>
      </c>
    </row>
    <row r="218" spans="1:21" ht="29.25" customHeight="1" x14ac:dyDescent="0.2">
      <c r="A218" s="502" t="s">
        <v>75</v>
      </c>
      <c r="B218" s="504"/>
      <c r="C218" s="498"/>
      <c r="D218" s="499"/>
      <c r="E218" s="499"/>
      <c r="F218" s="86" t="s">
        <v>101</v>
      </c>
      <c r="G218" s="67">
        <f>SUM(G81:G170)</f>
        <v>138423.32</v>
      </c>
      <c r="H218" s="67">
        <f>SUM(H81:H170)</f>
        <v>204758.1</v>
      </c>
      <c r="I218" s="67">
        <f>SUM(I81:I170)</f>
        <v>220709</v>
      </c>
      <c r="J218" s="67">
        <f t="shared" ref="J218:L218" si="12">SUM(J81:J216)</f>
        <v>313192.90000000002</v>
      </c>
      <c r="K218" s="67">
        <f t="shared" si="12"/>
        <v>421613.6</v>
      </c>
      <c r="L218" s="67">
        <f t="shared" si="12"/>
        <v>1308589.8</v>
      </c>
      <c r="M218" s="67">
        <f>SUM(M81:M216)</f>
        <v>1406025</v>
      </c>
      <c r="N218" s="67">
        <f t="shared" ref="N218:U218" si="13">SUM(N81:N217)</f>
        <v>4013311.72</v>
      </c>
      <c r="O218" s="67">
        <f t="shared" si="13"/>
        <v>1203878.7</v>
      </c>
      <c r="P218" s="67">
        <f t="shared" si="13"/>
        <v>799633.3</v>
      </c>
      <c r="Q218" s="67">
        <f t="shared" si="13"/>
        <v>798128.13</v>
      </c>
      <c r="R218" s="67">
        <f t="shared" si="13"/>
        <v>818080.95000000007</v>
      </c>
      <c r="S218" s="67">
        <f t="shared" si="13"/>
        <v>836939.11</v>
      </c>
      <c r="T218" s="67">
        <f t="shared" si="13"/>
        <v>1102877.1948240912</v>
      </c>
      <c r="U218" s="67">
        <f t="shared" si="13"/>
        <v>9572849.1048240922</v>
      </c>
    </row>
    <row r="219" spans="1:21" ht="52.5" hidden="1" customHeight="1" outlineLevel="1" x14ac:dyDescent="0.2">
      <c r="A219" s="161">
        <v>3</v>
      </c>
      <c r="B219" s="520" t="s">
        <v>156</v>
      </c>
      <c r="C219" s="162" t="s">
        <v>157</v>
      </c>
      <c r="D219" s="163" t="s">
        <v>50</v>
      </c>
      <c r="E219" s="500" t="s">
        <v>158</v>
      </c>
      <c r="F219" s="47" t="s">
        <v>11</v>
      </c>
      <c r="G219" s="38">
        <v>0</v>
      </c>
      <c r="H219" s="38">
        <v>0</v>
      </c>
      <c r="I219" s="38">
        <v>0</v>
      </c>
      <c r="J219" s="38">
        <v>4059.9</v>
      </c>
      <c r="K219" s="38">
        <v>20246.5</v>
      </c>
      <c r="L219" s="38">
        <v>48490</v>
      </c>
      <c r="M219" s="38">
        <v>51250</v>
      </c>
      <c r="N219" s="6">
        <f t="shared" si="10"/>
        <v>124046.39999999999</v>
      </c>
      <c r="O219" s="38">
        <f>53650-10623.9</f>
        <v>43026.1</v>
      </c>
      <c r="P219" s="38">
        <v>0</v>
      </c>
      <c r="Q219" s="38">
        <v>0</v>
      </c>
      <c r="R219" s="38">
        <v>0</v>
      </c>
      <c r="S219" s="38">
        <v>0</v>
      </c>
      <c r="T219" s="38">
        <v>0</v>
      </c>
      <c r="U219" s="38">
        <f>SUM(G219:T219)-N219</f>
        <v>167072.49999999997</v>
      </c>
    </row>
    <row r="220" spans="1:21" ht="44.25" hidden="1" customHeight="1" outlineLevel="1" x14ac:dyDescent="0.2">
      <c r="A220" s="128"/>
      <c r="B220" s="439"/>
      <c r="C220" s="164" t="s">
        <v>159</v>
      </c>
      <c r="D220" s="165" t="s">
        <v>59</v>
      </c>
      <c r="E220" s="501"/>
      <c r="F220" s="71" t="s">
        <v>160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8"/>
      <c r="N220" s="6">
        <f t="shared" si="10"/>
        <v>0</v>
      </c>
      <c r="O220" s="38"/>
      <c r="P220" s="38"/>
      <c r="Q220" s="38"/>
      <c r="R220" s="38"/>
      <c r="S220" s="38"/>
      <c r="T220" s="38"/>
      <c r="U220" s="38" t="e">
        <f>SUM(G220:T220)-#REF!</f>
        <v>#REF!</v>
      </c>
    </row>
    <row r="221" spans="1:21" ht="44.25" hidden="1" customHeight="1" outlineLevel="1" x14ac:dyDescent="0.2">
      <c r="A221" s="128"/>
      <c r="B221" s="439"/>
      <c r="C221" s="166" t="s">
        <v>161</v>
      </c>
      <c r="D221" s="165" t="s">
        <v>59</v>
      </c>
      <c r="E221" s="501"/>
      <c r="F221" s="71" t="s">
        <v>160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/>
      <c r="N221" s="6">
        <f t="shared" si="10"/>
        <v>0</v>
      </c>
      <c r="O221" s="38"/>
      <c r="P221" s="38"/>
      <c r="Q221" s="38"/>
      <c r="R221" s="38"/>
      <c r="S221" s="38"/>
      <c r="T221" s="38"/>
      <c r="U221" s="38" t="e">
        <f>SUM(G221:T221)-#REF!</f>
        <v>#REF!</v>
      </c>
    </row>
    <row r="222" spans="1:21" ht="45" hidden="1" customHeight="1" outlineLevel="1" x14ac:dyDescent="0.2">
      <c r="A222" s="39"/>
      <c r="B222" s="439"/>
      <c r="C222" s="167" t="s">
        <v>162</v>
      </c>
      <c r="D222" s="168" t="s">
        <v>50</v>
      </c>
      <c r="E222" s="501"/>
      <c r="F222" s="47" t="s">
        <v>11</v>
      </c>
      <c r="G222" s="40">
        <v>0</v>
      </c>
      <c r="H222" s="40">
        <v>0</v>
      </c>
      <c r="I222" s="40">
        <v>0</v>
      </c>
      <c r="J222" s="40">
        <v>519.4</v>
      </c>
      <c r="K222" s="40">
        <v>1000</v>
      </c>
      <c r="L222" s="40">
        <v>1000</v>
      </c>
      <c r="M222" s="40">
        <v>1070</v>
      </c>
      <c r="N222" s="6">
        <f t="shared" si="10"/>
        <v>3589.4</v>
      </c>
      <c r="O222" s="40">
        <v>1070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f t="shared" ref="U222:U234" si="14">SUM(G222:T222)-N222</f>
        <v>4659.3999999999996</v>
      </c>
    </row>
    <row r="223" spans="1:21" ht="48.75" hidden="1" customHeight="1" outlineLevel="1" x14ac:dyDescent="0.2">
      <c r="A223" s="39"/>
      <c r="B223" s="439"/>
      <c r="C223" s="169" t="s">
        <v>163</v>
      </c>
      <c r="D223" s="170" t="s">
        <v>56</v>
      </c>
      <c r="E223" s="501" t="s">
        <v>164</v>
      </c>
      <c r="F223" s="47" t="s">
        <v>11</v>
      </c>
      <c r="G223" s="40">
        <v>0</v>
      </c>
      <c r="H223" s="40">
        <v>0</v>
      </c>
      <c r="I223" s="40">
        <v>0</v>
      </c>
      <c r="J223" s="40">
        <v>972</v>
      </c>
      <c r="K223" s="40">
        <v>3900</v>
      </c>
      <c r="L223" s="40">
        <v>0</v>
      </c>
      <c r="M223" s="40">
        <v>0</v>
      </c>
      <c r="N223" s="6">
        <f t="shared" si="10"/>
        <v>4872</v>
      </c>
      <c r="O223" s="40">
        <v>0</v>
      </c>
      <c r="P223" s="38">
        <v>0</v>
      </c>
      <c r="Q223" s="38">
        <v>0</v>
      </c>
      <c r="R223" s="38">
        <v>0</v>
      </c>
      <c r="S223" s="38">
        <v>0</v>
      </c>
      <c r="T223" s="38">
        <v>0</v>
      </c>
      <c r="U223" s="38">
        <f t="shared" si="14"/>
        <v>4872</v>
      </c>
    </row>
    <row r="224" spans="1:21" ht="45.75" hidden="1" customHeight="1" outlineLevel="1" x14ac:dyDescent="0.2">
      <c r="A224" s="41"/>
      <c r="B224" s="439"/>
      <c r="C224" s="171" t="s">
        <v>165</v>
      </c>
      <c r="D224" s="172">
        <v>2020</v>
      </c>
      <c r="E224" s="501"/>
      <c r="F224" s="47" t="s">
        <v>11</v>
      </c>
      <c r="G224" s="40">
        <v>0</v>
      </c>
      <c r="H224" s="40">
        <v>0</v>
      </c>
      <c r="I224" s="40">
        <v>0</v>
      </c>
      <c r="J224" s="40">
        <v>0</v>
      </c>
      <c r="K224" s="40">
        <v>900</v>
      </c>
      <c r="L224" s="40">
        <v>0</v>
      </c>
      <c r="M224" s="40">
        <v>0</v>
      </c>
      <c r="N224" s="6">
        <f t="shared" si="10"/>
        <v>900</v>
      </c>
      <c r="O224" s="40">
        <v>0</v>
      </c>
      <c r="P224" s="38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f t="shared" si="14"/>
        <v>900</v>
      </c>
    </row>
    <row r="225" spans="1:21" ht="44.25" hidden="1" customHeight="1" outlineLevel="1" x14ac:dyDescent="0.2">
      <c r="A225" s="41"/>
      <c r="B225" s="439"/>
      <c r="C225" s="167" t="s">
        <v>166</v>
      </c>
      <c r="D225" s="80" t="s">
        <v>90</v>
      </c>
      <c r="E225" s="41"/>
      <c r="F225" s="47" t="s">
        <v>11</v>
      </c>
      <c r="G225" s="40">
        <v>0</v>
      </c>
      <c r="H225" s="40">
        <v>0</v>
      </c>
      <c r="I225" s="40">
        <v>0</v>
      </c>
      <c r="J225" s="40">
        <v>0</v>
      </c>
      <c r="K225" s="40">
        <v>350</v>
      </c>
      <c r="L225" s="40">
        <v>370</v>
      </c>
      <c r="M225" s="40">
        <v>0</v>
      </c>
      <c r="N225" s="6">
        <f t="shared" si="10"/>
        <v>720</v>
      </c>
      <c r="O225" s="40">
        <v>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 t="shared" si="14"/>
        <v>720</v>
      </c>
    </row>
    <row r="226" spans="1:21" ht="47.25" hidden="1" customHeight="1" outlineLevel="1" x14ac:dyDescent="0.2">
      <c r="A226" s="41"/>
      <c r="B226" s="131"/>
      <c r="C226" s="173" t="s">
        <v>167</v>
      </c>
      <c r="D226" s="170" t="s">
        <v>90</v>
      </c>
      <c r="E226" s="41"/>
      <c r="F226" s="47" t="s">
        <v>11</v>
      </c>
      <c r="G226" s="40">
        <v>0</v>
      </c>
      <c r="H226" s="40">
        <v>0</v>
      </c>
      <c r="I226" s="40">
        <v>0</v>
      </c>
      <c r="J226" s="40">
        <v>0</v>
      </c>
      <c r="K226" s="40">
        <v>1000</v>
      </c>
      <c r="L226" s="40">
        <v>3000</v>
      </c>
      <c r="M226" s="40">
        <v>3000</v>
      </c>
      <c r="N226" s="6">
        <f t="shared" si="10"/>
        <v>7000</v>
      </c>
      <c r="O226" s="40">
        <v>3000</v>
      </c>
      <c r="P226" s="38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f t="shared" si="14"/>
        <v>10000</v>
      </c>
    </row>
    <row r="227" spans="1:21" ht="42" hidden="1" customHeight="1" outlineLevel="1" x14ac:dyDescent="0.2">
      <c r="A227" s="39"/>
      <c r="B227" s="123"/>
      <c r="C227" s="174" t="s">
        <v>168</v>
      </c>
      <c r="D227" s="165">
        <v>2020</v>
      </c>
      <c r="E227" s="68"/>
      <c r="F227" s="47" t="s">
        <v>11</v>
      </c>
      <c r="G227" s="40">
        <v>0</v>
      </c>
      <c r="H227" s="40">
        <v>0</v>
      </c>
      <c r="I227" s="40">
        <v>0</v>
      </c>
      <c r="J227" s="40">
        <v>0</v>
      </c>
      <c r="K227" s="40">
        <v>2450</v>
      </c>
      <c r="L227" s="40">
        <v>0</v>
      </c>
      <c r="M227" s="40">
        <v>0</v>
      </c>
      <c r="N227" s="6">
        <f t="shared" si="10"/>
        <v>2450</v>
      </c>
      <c r="O227" s="40">
        <v>0</v>
      </c>
      <c r="P227" s="38">
        <v>0</v>
      </c>
      <c r="Q227" s="38">
        <v>0</v>
      </c>
      <c r="R227" s="38">
        <v>0</v>
      </c>
      <c r="S227" s="38">
        <v>0</v>
      </c>
      <c r="T227" s="38">
        <v>0</v>
      </c>
      <c r="U227" s="38">
        <f t="shared" si="14"/>
        <v>2450</v>
      </c>
    </row>
    <row r="228" spans="1:21" ht="49.5" hidden="1" customHeight="1" outlineLevel="1" x14ac:dyDescent="0.2">
      <c r="A228" s="39"/>
      <c r="B228" s="123"/>
      <c r="C228" s="174" t="s">
        <v>169</v>
      </c>
      <c r="D228" s="165">
        <v>2020</v>
      </c>
      <c r="E228" s="68"/>
      <c r="F228" s="47" t="s">
        <v>11</v>
      </c>
      <c r="G228" s="40">
        <v>0</v>
      </c>
      <c r="H228" s="40">
        <v>0</v>
      </c>
      <c r="I228" s="40">
        <v>0</v>
      </c>
      <c r="J228" s="40">
        <v>0</v>
      </c>
      <c r="K228" s="40">
        <v>4500</v>
      </c>
      <c r="L228" s="40">
        <v>0</v>
      </c>
      <c r="M228" s="40">
        <v>0</v>
      </c>
      <c r="N228" s="6">
        <f t="shared" si="10"/>
        <v>4500</v>
      </c>
      <c r="O228" s="40">
        <v>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si="14"/>
        <v>4500</v>
      </c>
    </row>
    <row r="229" spans="1:21" ht="40.5" hidden="1" customHeight="1" outlineLevel="1" x14ac:dyDescent="0.2">
      <c r="A229" s="39"/>
      <c r="B229" s="42"/>
      <c r="C229" s="175" t="s">
        <v>170</v>
      </c>
      <c r="D229" s="176" t="s">
        <v>90</v>
      </c>
      <c r="E229" s="68"/>
      <c r="F229" s="47" t="s">
        <v>11</v>
      </c>
      <c r="G229" s="40">
        <v>0</v>
      </c>
      <c r="H229" s="40">
        <v>0</v>
      </c>
      <c r="I229" s="40">
        <v>0</v>
      </c>
      <c r="J229" s="40">
        <v>0</v>
      </c>
      <c r="K229" s="40">
        <v>5160</v>
      </c>
      <c r="L229" s="40">
        <v>5000</v>
      </c>
      <c r="M229" s="40">
        <v>0</v>
      </c>
      <c r="N229" s="6">
        <f t="shared" si="10"/>
        <v>10160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10160</v>
      </c>
    </row>
    <row r="230" spans="1:21" ht="48" hidden="1" customHeight="1" outlineLevel="1" x14ac:dyDescent="0.2">
      <c r="A230" s="43"/>
      <c r="B230" s="44"/>
      <c r="C230" s="45" t="s">
        <v>171</v>
      </c>
      <c r="D230" s="84" t="s">
        <v>59</v>
      </c>
      <c r="E230" s="68"/>
      <c r="F230" s="47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3150</v>
      </c>
      <c r="M230" s="40">
        <v>3125</v>
      </c>
      <c r="N230" s="6">
        <f t="shared" si="10"/>
        <v>6275</v>
      </c>
      <c r="O230" s="40">
        <v>3125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9400</v>
      </c>
    </row>
    <row r="231" spans="1:21" ht="51.75" hidden="1" customHeight="1" outlineLevel="1" x14ac:dyDescent="0.2">
      <c r="A231" s="43"/>
      <c r="B231" s="119"/>
      <c r="C231" s="169" t="s">
        <v>172</v>
      </c>
      <c r="D231" s="81" t="s">
        <v>59</v>
      </c>
      <c r="E231" s="121"/>
      <c r="F231" s="47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f>5350-5350</f>
        <v>0</v>
      </c>
      <c r="M231" s="40">
        <f>5350-5350</f>
        <v>0</v>
      </c>
      <c r="N231" s="6">
        <f t="shared" si="10"/>
        <v>0</v>
      </c>
      <c r="O231" s="40">
        <f>5350-5350</f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0</v>
      </c>
    </row>
    <row r="232" spans="1:21" ht="40.5" hidden="1" customHeight="1" outlineLevel="1" x14ac:dyDescent="0.2">
      <c r="A232" s="43"/>
      <c r="B232" s="119"/>
      <c r="C232" s="171" t="s">
        <v>173</v>
      </c>
      <c r="D232" s="172" t="s">
        <v>59</v>
      </c>
      <c r="E232" s="68"/>
      <c r="F232" s="47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6500</v>
      </c>
      <c r="M232" s="40">
        <v>750</v>
      </c>
      <c r="N232" s="6">
        <f t="shared" si="10"/>
        <v>7250</v>
      </c>
      <c r="O232" s="40">
        <v>750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8000</v>
      </c>
    </row>
    <row r="233" spans="1:21" ht="84" hidden="1" customHeight="1" outlineLevel="1" x14ac:dyDescent="0.2">
      <c r="A233" s="43"/>
      <c r="B233" s="119"/>
      <c r="C233" s="46" t="s">
        <v>174</v>
      </c>
      <c r="D233" s="47">
        <v>2023</v>
      </c>
      <c r="E233" s="68"/>
      <c r="F233" s="47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6">
        <f t="shared" si="10"/>
        <v>0</v>
      </c>
      <c r="O233" s="9">
        <f>10623.9-934.29</f>
        <v>9689.61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9689.61</v>
      </c>
    </row>
    <row r="234" spans="1:21" ht="43.5" hidden="1" customHeight="1" outlineLevel="1" x14ac:dyDescent="0.2">
      <c r="A234" s="48"/>
      <c r="B234" s="120"/>
      <c r="C234" s="177" t="s">
        <v>175</v>
      </c>
      <c r="D234" s="178">
        <v>2023</v>
      </c>
      <c r="E234" s="83"/>
      <c r="F234" s="71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6">
        <f t="shared" si="10"/>
        <v>0</v>
      </c>
      <c r="O234" s="9">
        <v>934.28800000000001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934.28800000000001</v>
      </c>
    </row>
    <row r="235" spans="1:21" ht="41.25" hidden="1" customHeight="1" outlineLevel="1" x14ac:dyDescent="0.2">
      <c r="A235" s="502" t="s">
        <v>75</v>
      </c>
      <c r="B235" s="503"/>
      <c r="C235" s="179"/>
      <c r="D235" s="84"/>
      <c r="E235" s="84"/>
      <c r="F235" s="47" t="s">
        <v>11</v>
      </c>
      <c r="G235" s="56">
        <f>SUM(G219:G234)</f>
        <v>0</v>
      </c>
      <c r="H235" s="56">
        <f t="shared" ref="H235:T235" si="15">SUM(H219:H234)</f>
        <v>0</v>
      </c>
      <c r="I235" s="56">
        <f t="shared" si="15"/>
        <v>0</v>
      </c>
      <c r="J235" s="56">
        <f t="shared" si="15"/>
        <v>5551.3</v>
      </c>
      <c r="K235" s="56">
        <f t="shared" si="15"/>
        <v>39506.5</v>
      </c>
      <c r="L235" s="56">
        <f t="shared" si="15"/>
        <v>67510</v>
      </c>
      <c r="M235" s="56">
        <f>SUM(M219:M234)</f>
        <v>59195</v>
      </c>
      <c r="N235" s="56">
        <f>SUM(N219:N234)</f>
        <v>171762.8</v>
      </c>
      <c r="O235" s="56">
        <f t="shared" si="15"/>
        <v>61594.998</v>
      </c>
      <c r="P235" s="56">
        <f t="shared" si="15"/>
        <v>0</v>
      </c>
      <c r="Q235" s="56">
        <f t="shared" si="15"/>
        <v>0</v>
      </c>
      <c r="R235" s="56">
        <f t="shared" si="15"/>
        <v>0</v>
      </c>
      <c r="S235" s="56">
        <f t="shared" si="15"/>
        <v>0</v>
      </c>
      <c r="T235" s="56">
        <f t="shared" si="15"/>
        <v>0</v>
      </c>
      <c r="U235" s="56">
        <f>SUM(G235:T235)-N235</f>
        <v>233357.79800000001</v>
      </c>
    </row>
    <row r="236" spans="1:21" ht="84" hidden="1" customHeight="1" outlineLevel="1" x14ac:dyDescent="0.2">
      <c r="A236" s="180">
        <v>4</v>
      </c>
      <c r="B236" s="181" t="s">
        <v>176</v>
      </c>
      <c r="C236" s="50" t="s">
        <v>207</v>
      </c>
      <c r="D236" s="51">
        <v>2020</v>
      </c>
      <c r="E236" s="85" t="s">
        <v>177</v>
      </c>
      <c r="F236" s="47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167.43</v>
      </c>
      <c r="L236" s="40">
        <v>0</v>
      </c>
      <c r="M236" s="40">
        <v>0</v>
      </c>
      <c r="N236" s="6">
        <f t="shared" si="10"/>
        <v>167.43</v>
      </c>
      <c r="O236" s="40">
        <v>0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>SUM(G236:T236)-N236</f>
        <v>167.43</v>
      </c>
    </row>
    <row r="237" spans="1:21" ht="82.5" hidden="1" customHeight="1" outlineLevel="1" x14ac:dyDescent="0.2">
      <c r="A237" s="49"/>
      <c r="B237" s="123"/>
      <c r="C237" s="174" t="s">
        <v>178</v>
      </c>
      <c r="D237" s="182" t="s">
        <v>14</v>
      </c>
      <c r="E237" s="183" t="s">
        <v>179</v>
      </c>
      <c r="F237" s="47" t="s">
        <v>11</v>
      </c>
      <c r="G237" s="38">
        <v>199.92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8">
        <v>0</v>
      </c>
      <c r="N237" s="6">
        <f t="shared" si="10"/>
        <v>199.92</v>
      </c>
      <c r="O237" s="38"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ref="U237:U239" si="16">SUM(G237:T237)-N237</f>
        <v>199.92</v>
      </c>
    </row>
    <row r="238" spans="1:21" ht="76.5" hidden="1" customHeight="1" outlineLevel="1" x14ac:dyDescent="0.2">
      <c r="A238" s="52"/>
      <c r="B238" s="53"/>
      <c r="C238" s="184" t="s">
        <v>180</v>
      </c>
      <c r="D238" s="182">
        <v>2021</v>
      </c>
      <c r="E238" s="183" t="s">
        <v>177</v>
      </c>
      <c r="F238" s="47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485.1</v>
      </c>
      <c r="M238" s="40">
        <v>0</v>
      </c>
      <c r="N238" s="6">
        <f t="shared" si="10"/>
        <v>485.1</v>
      </c>
      <c r="O238" s="40">
        <v>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6"/>
        <v>485.1</v>
      </c>
    </row>
    <row r="239" spans="1:21" ht="77.25" hidden="1" customHeight="1" outlineLevel="1" x14ac:dyDescent="0.2">
      <c r="A239" s="54"/>
      <c r="B239" s="55"/>
      <c r="C239" s="184" t="s">
        <v>181</v>
      </c>
      <c r="D239" s="182">
        <v>2022</v>
      </c>
      <c r="E239" s="183" t="s">
        <v>177</v>
      </c>
      <c r="F239" s="47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488.9</v>
      </c>
      <c r="N239" s="6">
        <f t="shared" si="10"/>
        <v>488.9</v>
      </c>
      <c r="O239" s="40">
        <v>0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6"/>
        <v>488.9</v>
      </c>
    </row>
    <row r="240" spans="1:21" ht="40.5" hidden="1" customHeight="1" outlineLevel="1" x14ac:dyDescent="0.2">
      <c r="A240" s="486" t="s">
        <v>75</v>
      </c>
      <c r="B240" s="487"/>
      <c r="C240" s="488"/>
      <c r="D240" s="488"/>
      <c r="E240" s="489"/>
      <c r="F240" s="47" t="s">
        <v>11</v>
      </c>
      <c r="G240" s="56">
        <f>SUM(G236:G239)</f>
        <v>199.92</v>
      </c>
      <c r="H240" s="56">
        <f t="shared" ref="H240:T240" si="17">SUM(H236:H239)</f>
        <v>0</v>
      </c>
      <c r="I240" s="56">
        <f t="shared" si="17"/>
        <v>0</v>
      </c>
      <c r="J240" s="56">
        <f t="shared" si="17"/>
        <v>0</v>
      </c>
      <c r="K240" s="56">
        <f t="shared" si="17"/>
        <v>167.43</v>
      </c>
      <c r="L240" s="56">
        <f t="shared" si="17"/>
        <v>485.1</v>
      </c>
      <c r="M240" s="56">
        <f t="shared" si="17"/>
        <v>488.9</v>
      </c>
      <c r="N240" s="56">
        <f t="shared" si="17"/>
        <v>1341.35</v>
      </c>
      <c r="O240" s="56">
        <f t="shared" si="17"/>
        <v>0</v>
      </c>
      <c r="P240" s="56">
        <f t="shared" si="17"/>
        <v>0</v>
      </c>
      <c r="Q240" s="56">
        <f t="shared" si="17"/>
        <v>0</v>
      </c>
      <c r="R240" s="56">
        <f t="shared" si="17"/>
        <v>0</v>
      </c>
      <c r="S240" s="56">
        <f t="shared" si="17"/>
        <v>0</v>
      </c>
      <c r="T240" s="56">
        <f t="shared" si="17"/>
        <v>0</v>
      </c>
      <c r="U240" s="56">
        <f>SUM(G240:T240)-N240</f>
        <v>1341.35</v>
      </c>
    </row>
    <row r="241" spans="1:21" ht="78.75" hidden="1" customHeight="1" outlineLevel="1" collapsed="1" x14ac:dyDescent="0.2">
      <c r="A241" s="185">
        <v>5</v>
      </c>
      <c r="B241" s="186" t="s">
        <v>182</v>
      </c>
      <c r="C241" s="187" t="s">
        <v>241</v>
      </c>
      <c r="D241" s="188" t="s">
        <v>183</v>
      </c>
      <c r="E241" s="189" t="s">
        <v>177</v>
      </c>
      <c r="F241" s="47" t="s">
        <v>11</v>
      </c>
      <c r="G241" s="38">
        <v>0</v>
      </c>
      <c r="H241" s="38">
        <v>300</v>
      </c>
      <c r="I241" s="38">
        <v>0</v>
      </c>
      <c r="J241" s="38">
        <v>0</v>
      </c>
      <c r="K241" s="38">
        <v>0</v>
      </c>
      <c r="L241" s="38">
        <v>1469</v>
      </c>
      <c r="M241" s="38">
        <v>0</v>
      </c>
      <c r="N241" s="6">
        <f t="shared" si="10"/>
        <v>1769</v>
      </c>
      <c r="O241" s="38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f>SUM(G241:T241)-N241</f>
        <v>1769</v>
      </c>
    </row>
    <row r="242" spans="1:21" ht="41.25" hidden="1" customHeight="1" outlineLevel="1" x14ac:dyDescent="0.2">
      <c r="A242" s="190"/>
      <c r="B242" s="57"/>
      <c r="C242" s="58" t="s">
        <v>242</v>
      </c>
      <c r="D242" s="132" t="s">
        <v>61</v>
      </c>
      <c r="E242" s="490" t="s">
        <v>177</v>
      </c>
      <c r="F242" s="47" t="s">
        <v>11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8">
        <v>31</v>
      </c>
      <c r="M242" s="38">
        <v>0</v>
      </c>
      <c r="N242" s="6">
        <f t="shared" si="10"/>
        <v>31</v>
      </c>
      <c r="O242" s="38">
        <v>0</v>
      </c>
      <c r="P242" s="38">
        <v>50</v>
      </c>
      <c r="Q242" s="38">
        <v>55</v>
      </c>
      <c r="R242" s="38">
        <v>61</v>
      </c>
      <c r="S242" s="38">
        <v>67</v>
      </c>
      <c r="T242" s="38">
        <v>75</v>
      </c>
      <c r="U242" s="38">
        <f t="shared" ref="U242:U244" si="18">SUM(G242:T242)-N242</f>
        <v>339</v>
      </c>
    </row>
    <row r="243" spans="1:21" ht="52.5" hidden="1" customHeight="1" outlineLevel="1" x14ac:dyDescent="0.2">
      <c r="A243" s="190"/>
      <c r="B243" s="57"/>
      <c r="C243" s="59" t="s">
        <v>184</v>
      </c>
      <c r="D243" s="182" t="s">
        <v>73</v>
      </c>
      <c r="E243" s="491"/>
      <c r="F243" s="47" t="s">
        <v>11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0</v>
      </c>
      <c r="O243" s="38">
        <v>0</v>
      </c>
      <c r="P243" s="38">
        <v>35</v>
      </c>
      <c r="Q243" s="38">
        <v>40</v>
      </c>
      <c r="R243" s="38">
        <v>45</v>
      </c>
      <c r="S243" s="38">
        <v>50</v>
      </c>
      <c r="T243" s="38">
        <v>55</v>
      </c>
      <c r="U243" s="38">
        <f t="shared" si="18"/>
        <v>225</v>
      </c>
    </row>
    <row r="244" spans="1:21" ht="95.25" customHeight="1" collapsed="1" x14ac:dyDescent="0.2">
      <c r="A244" s="185">
        <v>5</v>
      </c>
      <c r="B244" s="186" t="s">
        <v>182</v>
      </c>
      <c r="C244" s="14" t="s">
        <v>279</v>
      </c>
      <c r="D244" s="71" t="s">
        <v>73</v>
      </c>
      <c r="E244" s="90" t="s">
        <v>249</v>
      </c>
      <c r="F244" s="71" t="s">
        <v>11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6">
        <f t="shared" si="10"/>
        <v>0</v>
      </c>
      <c r="O244" s="38">
        <v>0</v>
      </c>
      <c r="P244" s="38">
        <v>750</v>
      </c>
      <c r="Q244" s="38">
        <v>600</v>
      </c>
      <c r="R244" s="38">
        <v>300</v>
      </c>
      <c r="S244" s="38">
        <v>450</v>
      </c>
      <c r="T244" s="38">
        <v>0</v>
      </c>
      <c r="U244" s="38">
        <f t="shared" si="18"/>
        <v>2100</v>
      </c>
    </row>
    <row r="245" spans="1:21" ht="41.25" hidden="1" customHeight="1" outlineLevel="1" x14ac:dyDescent="0.2">
      <c r="A245" s="492" t="s">
        <v>75</v>
      </c>
      <c r="B245" s="493"/>
      <c r="C245" s="494"/>
      <c r="D245" s="494"/>
      <c r="E245" s="495"/>
      <c r="F245" s="47" t="s">
        <v>11</v>
      </c>
      <c r="G245" s="60">
        <f>G241+G242+G243</f>
        <v>0</v>
      </c>
      <c r="H245" s="60">
        <f t="shared" ref="H245:M245" si="19">H241+H242+H243</f>
        <v>300</v>
      </c>
      <c r="I245" s="60">
        <f t="shared" si="19"/>
        <v>0</v>
      </c>
      <c r="J245" s="60">
        <f t="shared" si="19"/>
        <v>0</v>
      </c>
      <c r="K245" s="60">
        <f t="shared" si="19"/>
        <v>0</v>
      </c>
      <c r="L245" s="60">
        <f t="shared" si="19"/>
        <v>1500</v>
      </c>
      <c r="M245" s="60">
        <f t="shared" si="19"/>
        <v>0</v>
      </c>
      <c r="N245" s="60">
        <f>G245+H245+I245+J245+K245+L245+M245</f>
        <v>1800</v>
      </c>
      <c r="O245" s="60">
        <f>O241+O242+O243+O244</f>
        <v>0</v>
      </c>
      <c r="P245" s="60">
        <f t="shared" ref="P245:T245" si="20">P241+P242+P243+P244</f>
        <v>835</v>
      </c>
      <c r="Q245" s="60">
        <f t="shared" si="20"/>
        <v>695</v>
      </c>
      <c r="R245" s="60">
        <f t="shared" si="20"/>
        <v>406</v>
      </c>
      <c r="S245" s="60">
        <f t="shared" si="20"/>
        <v>567</v>
      </c>
      <c r="T245" s="60">
        <f t="shared" si="20"/>
        <v>130</v>
      </c>
      <c r="U245" s="60">
        <f>SUM(G245:T245)-N245</f>
        <v>4433</v>
      </c>
    </row>
    <row r="246" spans="1:21" ht="46.5" customHeight="1" collapsed="1" x14ac:dyDescent="0.2">
      <c r="A246" s="496" t="s">
        <v>185</v>
      </c>
      <c r="B246" s="497"/>
      <c r="C246" s="191"/>
      <c r="D246" s="192"/>
      <c r="E246" s="192"/>
      <c r="F246" s="47" t="s">
        <v>11</v>
      </c>
      <c r="G246" s="61">
        <f t="shared" ref="G246:T246" si="21">G240+G80+G218+G235+G245</f>
        <v>254461.71999999997</v>
      </c>
      <c r="H246" s="61">
        <f t="shared" si="21"/>
        <v>419562.19999999995</v>
      </c>
      <c r="I246" s="61">
        <f t="shared" si="21"/>
        <v>461134.5</v>
      </c>
      <c r="J246" s="61">
        <f t="shared" si="21"/>
        <v>614158.40000000014</v>
      </c>
      <c r="K246" s="61">
        <f t="shared" si="21"/>
        <v>910764.79</v>
      </c>
      <c r="L246" s="61">
        <f t="shared" si="21"/>
        <v>2006163.4</v>
      </c>
      <c r="M246" s="61">
        <f t="shared" si="21"/>
        <v>2130497.2000000002</v>
      </c>
      <c r="N246" s="61">
        <f t="shared" si="21"/>
        <v>6796742.21</v>
      </c>
      <c r="O246" s="61">
        <f t="shared" si="21"/>
        <v>2120341.898</v>
      </c>
      <c r="P246" s="61">
        <f t="shared" si="21"/>
        <v>1849788.28614</v>
      </c>
      <c r="Q246" s="61">
        <f t="shared" si="21"/>
        <v>1596774.4511099998</v>
      </c>
      <c r="R246" s="61">
        <f t="shared" si="21"/>
        <v>1698390.5643600002</v>
      </c>
      <c r="S246" s="61">
        <f t="shared" si="21"/>
        <v>1783638.2713599999</v>
      </c>
      <c r="T246" s="61">
        <f t="shared" si="21"/>
        <v>2141462.8696440915</v>
      </c>
      <c r="U246" s="61">
        <f>SUM(G246:T246)-N246</f>
        <v>17987138.550614085</v>
      </c>
    </row>
    <row r="247" spans="1:21" ht="48.75" customHeight="1" x14ac:dyDescent="0.2">
      <c r="A247" s="62"/>
      <c r="B247" s="451" t="s">
        <v>248</v>
      </c>
      <c r="C247" s="451"/>
      <c r="D247" s="451"/>
      <c r="E247" s="451"/>
      <c r="F247" s="451"/>
      <c r="G247" s="451"/>
      <c r="H247" s="451"/>
      <c r="I247" s="451"/>
      <c r="J247" s="451"/>
      <c r="K247" s="451"/>
      <c r="L247" s="451"/>
      <c r="M247" s="451"/>
      <c r="N247" s="451"/>
      <c r="O247" s="451"/>
      <c r="P247" s="451"/>
      <c r="Q247" s="451"/>
      <c r="R247" s="451"/>
      <c r="S247" s="451"/>
      <c r="T247" s="451"/>
      <c r="U247" s="451"/>
    </row>
    <row r="248" spans="1:21" ht="63" customHeight="1" x14ac:dyDescent="0.25">
      <c r="B248" s="63" t="s">
        <v>101</v>
      </c>
      <c r="D248" s="63"/>
      <c r="E248" s="63"/>
    </row>
    <row r="249" spans="1:21" s="7" customFormat="1" ht="27" x14ac:dyDescent="0.35">
      <c r="B249" s="485" t="s">
        <v>191</v>
      </c>
      <c r="C249" s="485"/>
      <c r="D249" s="485"/>
      <c r="E249" s="485"/>
      <c r="F249" s="485"/>
      <c r="G249" s="485"/>
      <c r="H249" s="485"/>
      <c r="I249" s="485"/>
      <c r="J249" s="485"/>
      <c r="K249" s="485"/>
      <c r="N249" s="74" t="s">
        <v>192</v>
      </c>
    </row>
    <row r="250" spans="1:21" s="7" customFormat="1" x14ac:dyDescent="0.2">
      <c r="C250" s="64"/>
    </row>
  </sheetData>
  <sheetProtection selectLockedCells="1" selectUnlockedCells="1"/>
  <mergeCells count="50"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M9:M10"/>
    <mergeCell ref="N9:N10"/>
    <mergeCell ref="S9:S10"/>
    <mergeCell ref="L9:L10"/>
    <mergeCell ref="H9:H10"/>
    <mergeCell ref="I9:I10"/>
    <mergeCell ref="E12:E19"/>
    <mergeCell ref="B12:B19"/>
    <mergeCell ref="E39:E45"/>
    <mergeCell ref="B39:B46"/>
    <mergeCell ref="G9:G10"/>
    <mergeCell ref="J9:J10"/>
    <mergeCell ref="K9:K10"/>
    <mergeCell ref="T9:T10"/>
    <mergeCell ref="U9:U10"/>
    <mergeCell ref="Q9:Q10"/>
    <mergeCell ref="R9:R10"/>
    <mergeCell ref="O9:O10"/>
    <mergeCell ref="P9:P10"/>
    <mergeCell ref="A59:A60"/>
    <mergeCell ref="B67:B69"/>
    <mergeCell ref="A68:A69"/>
    <mergeCell ref="A80:B80"/>
    <mergeCell ref="E81:E82"/>
    <mergeCell ref="B247:U247"/>
    <mergeCell ref="B249:K249"/>
    <mergeCell ref="A240:B240"/>
    <mergeCell ref="C240:E240"/>
    <mergeCell ref="E242:E243"/>
    <mergeCell ref="A245:B245"/>
    <mergeCell ref="C245:E245"/>
    <mergeCell ref="A246:B246"/>
    <mergeCell ref="A235:B235"/>
    <mergeCell ref="B83:B141"/>
    <mergeCell ref="A218:B218"/>
    <mergeCell ref="C218:E218"/>
    <mergeCell ref="B219:B225"/>
    <mergeCell ref="E219:E222"/>
    <mergeCell ref="E223:E224"/>
    <mergeCell ref="E83:E141"/>
  </mergeCells>
  <printOptions horizontalCentered="1"/>
  <pageMargins left="0.39370078740157483" right="0.39370078740157483" top="0.59055118110236227" bottom="0.39370078740157483" header="0.43307086614173229" footer="0"/>
  <pageSetup paperSize="9" scale="62" firstPageNumber="0" fitToHeight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38" max="20" man="1"/>
    <brk id="70" max="20" man="1"/>
    <brk id="20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додаток сесія_08_25актуалн</vt:lpstr>
      <vt:lpstr>додаток сесія_24_25викна (ЄБРР)</vt:lpstr>
      <vt:lpstr>додаток сесія_24_25викна</vt:lpstr>
      <vt:lpstr>додаток сесія_24_25табло</vt:lpstr>
      <vt:lpstr>додаток сесія_24_25листопад</vt:lpstr>
      <vt:lpstr>'додаток сесія_08_25актуалн'!Заголовки_для_печати</vt:lpstr>
      <vt:lpstr>'додаток сесія_24_25викна'!Заголовки_для_печати</vt:lpstr>
      <vt:lpstr>'додаток сесія_24_25викна (ЄБРР)'!Заголовки_для_печати</vt:lpstr>
      <vt:lpstr>'додаток сесія_24_25листопад'!Заголовки_для_печати</vt:lpstr>
      <vt:lpstr>'додаток сесія_24_25табло'!Заголовки_для_печати</vt:lpstr>
      <vt:lpstr>'додаток сесія_08_25актуалн'!Область_печати</vt:lpstr>
      <vt:lpstr>'додаток сесія_24_25викна'!Область_печати</vt:lpstr>
      <vt:lpstr>'додаток сесія_24_25викна (ЄБРР)'!Область_печати</vt:lpstr>
      <vt:lpstr>'додаток сесія_24_25листопад'!Область_печати</vt:lpstr>
      <vt:lpstr>'додаток сесія_24_25табло'!Область_печати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zagalny301_2</cp:lastModifiedBy>
  <cp:lastPrinted>2025-08-29T09:02:20Z</cp:lastPrinted>
  <dcterms:created xsi:type="dcterms:W3CDTF">2023-11-20T09:28:23Z</dcterms:created>
  <dcterms:modified xsi:type="dcterms:W3CDTF">2025-08-29T09:02:23Z</dcterms:modified>
</cp:coreProperties>
</file>