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g301\Desktop\Виконком_травень\ПРОЄКТИ\УТТ\"/>
    </mc:Choice>
  </mc:AlternateContent>
  <bookViews>
    <workbookView xWindow="720" yWindow="330" windowWidth="22755" windowHeight="8745"/>
  </bookViews>
  <sheets>
    <sheet name="додаток сесія_2024_2028_05.24" sheetId="5" r:id="rId1"/>
    <sheet name="додаток до програми_2024_2028" sheetId="1" r:id="rId2"/>
    <sheet name="додаток сесія_2024_2028_161 (2" sheetId="3" r:id="rId3"/>
    <sheet name="додаток сесія_актуальна" sheetId="2" r:id="rId4"/>
    <sheet name="додаток сесія_2024_2028_0124" sheetId="4" r:id="rId5"/>
  </sheets>
  <externalReferences>
    <externalReference r:id="rId6"/>
  </externalReferences>
  <definedNames>
    <definedName name="_xlnm._FilterDatabase" localSheetId="1" hidden="1">'додаток до програми_2024_2028'!$A$11:$U$11</definedName>
    <definedName name="_xlnm._FilterDatabase" localSheetId="4" hidden="1">'додаток сесія_2024_2028_0124'!$A$11:$U$11</definedName>
    <definedName name="_xlnm._FilterDatabase" localSheetId="0" hidden="1">'додаток сесія_2024_2028_05.24'!$A$12:$U$12</definedName>
    <definedName name="_xlnm._FilterDatabase" localSheetId="2" hidden="1">'додаток сесія_2024_2028_161 (2'!$A$11:$U$11</definedName>
    <definedName name="Z_A572DAFB_30CD_4064_B5AD_81739D747DA9_.wvu.FilterData" localSheetId="1" hidden="1">'додаток до програми_2024_2028'!$A$11:$U$11</definedName>
    <definedName name="Z_A572DAFB_30CD_4064_B5AD_81739D747DA9_.wvu.FilterData" localSheetId="4" hidden="1">'додаток сесія_2024_2028_0124'!$A$11:$U$11</definedName>
    <definedName name="Z_A572DAFB_30CD_4064_B5AD_81739D747DA9_.wvu.FilterData" localSheetId="0" hidden="1">'додаток сесія_2024_2028_05.24'!$A$12:$U$12</definedName>
    <definedName name="Z_A572DAFB_30CD_4064_B5AD_81739D747DA9_.wvu.FilterData" localSheetId="2" hidden="1">'додаток сесія_2024_2028_161 (2'!$A$11:$U$11</definedName>
    <definedName name="Z_A572DAFB_30CD_4064_B5AD_81739D747DA9_.wvu.PrintArea" localSheetId="1" hidden="1">'додаток до програми_2024_2028'!$A$1:$U$247</definedName>
    <definedName name="Z_A572DAFB_30CD_4064_B5AD_81739D747DA9_.wvu.PrintArea" localSheetId="4" hidden="1">'додаток сесія_2024_2028_0124'!$A$1:$U$247</definedName>
    <definedName name="Z_A572DAFB_30CD_4064_B5AD_81739D747DA9_.wvu.PrintArea" localSheetId="0" hidden="1">'додаток сесія_2024_2028_05.24'!$A$1:$U$249</definedName>
    <definedName name="Z_A572DAFB_30CD_4064_B5AD_81739D747DA9_.wvu.PrintArea" localSheetId="2" hidden="1">'додаток сесія_2024_2028_161 (2'!$A$1:$U$248</definedName>
    <definedName name="Z_A572DAFB_30CD_4064_B5AD_81739D747DA9_.wvu.PrintArea" localSheetId="3" hidden="1">'додаток сесія_актуальна'!$A$2:$O$259</definedName>
    <definedName name="Z_A572DAFB_30CD_4064_B5AD_81739D747DA9_.wvu.PrintTitles" localSheetId="1" hidden="1">'додаток до програми_2024_2028'!$11:$11</definedName>
    <definedName name="Z_A572DAFB_30CD_4064_B5AD_81739D747DA9_.wvu.PrintTitles" localSheetId="4" hidden="1">'додаток сесія_2024_2028_0124'!$11:$11</definedName>
    <definedName name="Z_A572DAFB_30CD_4064_B5AD_81739D747DA9_.wvu.PrintTitles" localSheetId="0" hidden="1">'додаток сесія_2024_2028_05.24'!$12:$12</definedName>
    <definedName name="Z_A572DAFB_30CD_4064_B5AD_81739D747DA9_.wvu.PrintTitles" localSheetId="2" hidden="1">'додаток сесія_2024_2028_161 (2'!$11:$11</definedName>
    <definedName name="Z_A572DAFB_30CD_4064_B5AD_81739D747DA9_.wvu.Rows" localSheetId="1" hidden="1">'додаток до програми_2024_2028'!$218:$219</definedName>
    <definedName name="Z_A572DAFB_30CD_4064_B5AD_81739D747DA9_.wvu.Rows" localSheetId="4" hidden="1">'додаток сесія_2024_2028_0124'!$218:$219</definedName>
    <definedName name="Z_A572DAFB_30CD_4064_B5AD_81739D747DA9_.wvu.Rows" localSheetId="0" hidden="1">'додаток сесія_2024_2028_05.24'!$219:$220</definedName>
    <definedName name="Z_A572DAFB_30CD_4064_B5AD_81739D747DA9_.wvu.Rows" localSheetId="2" hidden="1">'додаток сесія_2024_2028_161 (2'!$218:$219</definedName>
    <definedName name="Z_A572DAFB_30CD_4064_B5AD_81739D747DA9_.wvu.Rows" localSheetId="3" hidden="1">'додаток сесія_актуальна'!$14:$15,'додаток сесія_актуальна'!$85:$85,'додаток сесія_актуальна'!$133:$133,'додаток сесія_актуальна'!$170:$170,'додаток сесія_актуальна'!$190:$197,'додаток сесія_актуальна'!$224:$225</definedName>
    <definedName name="_xlnm.Print_Titles" localSheetId="1">'додаток до програми_2024_2028'!$11:$11</definedName>
    <definedName name="_xlnm.Print_Titles" localSheetId="4">'додаток сесія_2024_2028_0124'!$11:$11</definedName>
    <definedName name="_xlnm.Print_Titles" localSheetId="0">'додаток сесія_2024_2028_05.24'!$12:$12</definedName>
    <definedName name="_xlnm.Print_Titles" localSheetId="2">'додаток сесія_2024_2028_161 (2'!$11:$11</definedName>
    <definedName name="_xlnm.Print_Area" localSheetId="1">'додаток до програми_2024_2028'!$A$1:$U$246</definedName>
    <definedName name="_xlnm.Print_Area" localSheetId="4">'додаток сесія_2024_2028_0124'!$A$1:$U$246</definedName>
    <definedName name="_xlnm.Print_Area" localSheetId="0">'додаток сесія_2024_2028_05.24'!$A$1:$U$248</definedName>
    <definedName name="_xlnm.Print_Area" localSheetId="2">'додаток сесія_2024_2028_161 (2'!$A$1:$U$247</definedName>
    <definedName name="_xlnm.Print_Area" localSheetId="3">'додаток сесія_актуальна'!$A$2:$O$259</definedName>
  </definedNames>
  <calcPr calcId="152511"/>
</workbook>
</file>

<file path=xl/calcChain.xml><?xml version="1.0" encoding="utf-8"?>
<calcChain xmlns="http://schemas.openxmlformats.org/spreadsheetml/2006/main">
  <c r="P78" i="5" l="1"/>
  <c r="P216" i="1"/>
  <c r="P233" i="1"/>
  <c r="P217" i="5"/>
  <c r="P244" i="5"/>
  <c r="P194" i="5" l="1"/>
  <c r="Q244" i="5" l="1"/>
  <c r="R244" i="5"/>
  <c r="S244" i="5"/>
  <c r="T244" i="5"/>
  <c r="O244" i="5"/>
  <c r="N242" i="5"/>
  <c r="W242" i="5" s="1"/>
  <c r="M244" i="5"/>
  <c r="L244" i="5"/>
  <c r="K244" i="5"/>
  <c r="J244" i="5"/>
  <c r="I244" i="5"/>
  <c r="H244" i="5"/>
  <c r="G244" i="5"/>
  <c r="N243" i="5"/>
  <c r="W243" i="5" s="1"/>
  <c r="N241" i="5"/>
  <c r="W241" i="5" s="1"/>
  <c r="N240" i="5"/>
  <c r="T239" i="5"/>
  <c r="S239" i="5"/>
  <c r="R239" i="5"/>
  <c r="Q239" i="5"/>
  <c r="P239" i="5"/>
  <c r="O239" i="5"/>
  <c r="M239" i="5"/>
  <c r="L239" i="5"/>
  <c r="K239" i="5"/>
  <c r="J239" i="5"/>
  <c r="I239" i="5"/>
  <c r="H239" i="5"/>
  <c r="G239" i="5"/>
  <c r="N238" i="5"/>
  <c r="U238" i="5" s="1"/>
  <c r="V238" i="5" s="1"/>
  <c r="N237" i="5"/>
  <c r="W237" i="5" s="1"/>
  <c r="N236" i="5"/>
  <c r="N235" i="5"/>
  <c r="U235" i="5" s="1"/>
  <c r="V235" i="5" s="1"/>
  <c r="T234" i="5"/>
  <c r="S234" i="5"/>
  <c r="R234" i="5"/>
  <c r="Q234" i="5"/>
  <c r="P234" i="5"/>
  <c r="K234" i="5"/>
  <c r="K258" i="5" s="1"/>
  <c r="J234" i="5"/>
  <c r="J258" i="5" s="1"/>
  <c r="I234" i="5"/>
  <c r="I258" i="5" s="1"/>
  <c r="H234" i="5"/>
  <c r="H258" i="5" s="1"/>
  <c r="G234" i="5"/>
  <c r="G258" i="5" s="1"/>
  <c r="N233" i="5"/>
  <c r="W233" i="5" s="1"/>
  <c r="O232" i="5"/>
  <c r="N232" i="5"/>
  <c r="N231" i="5"/>
  <c r="W231" i="5" s="1"/>
  <c r="O230" i="5"/>
  <c r="M230" i="5"/>
  <c r="M234" i="5" s="1"/>
  <c r="M258" i="5" s="1"/>
  <c r="L230" i="5"/>
  <c r="N229" i="5"/>
  <c r="U229" i="5" s="1"/>
  <c r="V229" i="5" s="1"/>
  <c r="N228" i="5"/>
  <c r="W228" i="5" s="1"/>
  <c r="N227" i="5"/>
  <c r="W227" i="5" s="1"/>
  <c r="N226" i="5"/>
  <c r="U226" i="5" s="1"/>
  <c r="V226" i="5" s="1"/>
  <c r="N225" i="5"/>
  <c r="W225" i="5" s="1"/>
  <c r="N224" i="5"/>
  <c r="W224" i="5" s="1"/>
  <c r="N223" i="5"/>
  <c r="U223" i="5" s="1"/>
  <c r="V223" i="5" s="1"/>
  <c r="N222" i="5"/>
  <c r="W222" i="5" s="1"/>
  <c r="N221" i="5"/>
  <c r="W221" i="5" s="1"/>
  <c r="N220" i="5"/>
  <c r="U220" i="5" s="1"/>
  <c r="V220" i="5" s="1"/>
  <c r="N219" i="5"/>
  <c r="W219" i="5" s="1"/>
  <c r="O218" i="5"/>
  <c r="O234" i="5" s="1"/>
  <c r="O258" i="5" s="1"/>
  <c r="N218" i="5"/>
  <c r="S217" i="5"/>
  <c r="R217" i="5"/>
  <c r="Q217" i="5"/>
  <c r="K217" i="5"/>
  <c r="G217" i="5"/>
  <c r="N216" i="5"/>
  <c r="W216" i="5" s="1"/>
  <c r="N215" i="5"/>
  <c r="N214" i="5"/>
  <c r="W214" i="5" s="1"/>
  <c r="N213" i="5"/>
  <c r="W213" i="5" s="1"/>
  <c r="N212" i="5"/>
  <c r="N211" i="5"/>
  <c r="W211" i="5" s="1"/>
  <c r="N210" i="5"/>
  <c r="W210" i="5" s="1"/>
  <c r="N209" i="5"/>
  <c r="N208" i="5"/>
  <c r="W208" i="5" s="1"/>
  <c r="N207" i="5"/>
  <c r="W207" i="5" s="1"/>
  <c r="N206" i="5"/>
  <c r="N205" i="5"/>
  <c r="W205" i="5" s="1"/>
  <c r="N204" i="5"/>
  <c r="W204" i="5" s="1"/>
  <c r="N203" i="5"/>
  <c r="N202" i="5"/>
  <c r="W202" i="5" s="1"/>
  <c r="N201" i="5"/>
  <c r="W201" i="5" s="1"/>
  <c r="N200" i="5"/>
  <c r="N199" i="5"/>
  <c r="W199" i="5" s="1"/>
  <c r="N198" i="5"/>
  <c r="W198" i="5" s="1"/>
  <c r="N197" i="5"/>
  <c r="N196" i="5"/>
  <c r="W196" i="5" s="1"/>
  <c r="N195" i="5"/>
  <c r="W195" i="5" s="1"/>
  <c r="N194" i="5"/>
  <c r="W194" i="5" s="1"/>
  <c r="N193" i="5"/>
  <c r="W193" i="5" s="1"/>
  <c r="N192" i="5"/>
  <c r="U192" i="5" s="1"/>
  <c r="V192" i="5" s="1"/>
  <c r="N191" i="5"/>
  <c r="W191" i="5" s="1"/>
  <c r="N190" i="5"/>
  <c r="W190" i="5" s="1"/>
  <c r="N189" i="5"/>
  <c r="U189" i="5" s="1"/>
  <c r="V189" i="5" s="1"/>
  <c r="N188" i="5"/>
  <c r="W188" i="5" s="1"/>
  <c r="N187" i="5"/>
  <c r="U187" i="5" s="1"/>
  <c r="V187" i="5" s="1"/>
  <c r="N186" i="5"/>
  <c r="U186" i="5" s="1"/>
  <c r="V186" i="5" s="1"/>
  <c r="N185" i="5"/>
  <c r="U185" i="5" s="1"/>
  <c r="V185" i="5" s="1"/>
  <c r="N184" i="5"/>
  <c r="W184" i="5" s="1"/>
  <c r="N183" i="5"/>
  <c r="U183" i="5" s="1"/>
  <c r="V183" i="5" s="1"/>
  <c r="N182" i="5"/>
  <c r="W182" i="5" s="1"/>
  <c r="N181" i="5"/>
  <c r="W181" i="5" s="1"/>
  <c r="N180" i="5"/>
  <c r="U180" i="5" s="1"/>
  <c r="V180" i="5" s="1"/>
  <c r="T179" i="5"/>
  <c r="N179" i="5"/>
  <c r="W179" i="5" s="1"/>
  <c r="T178" i="5"/>
  <c r="N178" i="5"/>
  <c r="W178" i="5" s="1"/>
  <c r="T177" i="5"/>
  <c r="N177" i="5"/>
  <c r="N176" i="5"/>
  <c r="W176" i="5" s="1"/>
  <c r="T175" i="5"/>
  <c r="N175" i="5"/>
  <c r="W175" i="5" s="1"/>
  <c r="T174" i="5"/>
  <c r="N174" i="5"/>
  <c r="W174" i="5" s="1"/>
  <c r="T173" i="5"/>
  <c r="N173" i="5"/>
  <c r="W173" i="5" s="1"/>
  <c r="N172" i="5"/>
  <c r="W172" i="5" s="1"/>
  <c r="T171" i="5"/>
  <c r="N171" i="5"/>
  <c r="W171" i="5" s="1"/>
  <c r="N170" i="5"/>
  <c r="W170" i="5" s="1"/>
  <c r="N169" i="5"/>
  <c r="N168" i="5"/>
  <c r="W168" i="5" s="1"/>
  <c r="N167" i="5"/>
  <c r="W167" i="5" s="1"/>
  <c r="N166" i="5"/>
  <c r="N165" i="5"/>
  <c r="W165" i="5" s="1"/>
  <c r="N164" i="5"/>
  <c r="W164" i="5" s="1"/>
  <c r="N163" i="5"/>
  <c r="N162" i="5"/>
  <c r="W162" i="5" s="1"/>
  <c r="N161" i="5"/>
  <c r="W161" i="5" s="1"/>
  <c r="N160" i="5"/>
  <c r="L160" i="5"/>
  <c r="L159" i="5"/>
  <c r="N158" i="5"/>
  <c r="W158" i="5" s="1"/>
  <c r="N157" i="5"/>
  <c r="U157" i="5" s="1"/>
  <c r="V157" i="5" s="1"/>
  <c r="M157" i="5"/>
  <c r="N156" i="5"/>
  <c r="W156" i="5" s="1"/>
  <c r="N155" i="5"/>
  <c r="W155" i="5" s="1"/>
  <c r="N154" i="5"/>
  <c r="W154" i="5" s="1"/>
  <c r="N153" i="5"/>
  <c r="W153" i="5" s="1"/>
  <c r="M153" i="5"/>
  <c r="N152" i="5"/>
  <c r="M151" i="5"/>
  <c r="L151" i="5"/>
  <c r="N150" i="5"/>
  <c r="W150" i="5" s="1"/>
  <c r="M150" i="5"/>
  <c r="N149" i="5"/>
  <c r="W149" i="5" s="1"/>
  <c r="O148" i="5"/>
  <c r="M148" i="5"/>
  <c r="N147" i="5"/>
  <c r="W147" i="5" s="1"/>
  <c r="O146" i="5"/>
  <c r="N146" i="5"/>
  <c r="W146" i="5" s="1"/>
  <c r="N145" i="5"/>
  <c r="W145" i="5" s="1"/>
  <c r="M145" i="5"/>
  <c r="L144" i="5"/>
  <c r="M143" i="5"/>
  <c r="N143" i="5" s="1"/>
  <c r="O142" i="5"/>
  <c r="N142" i="5"/>
  <c r="W142" i="5" s="1"/>
  <c r="M142" i="5"/>
  <c r="L142" i="5"/>
  <c r="O141" i="5"/>
  <c r="M141" i="5"/>
  <c r="N141" i="5" s="1"/>
  <c r="N140" i="5"/>
  <c r="U140" i="5" s="1"/>
  <c r="V140" i="5" s="1"/>
  <c r="M140" i="5"/>
  <c r="N139" i="5"/>
  <c r="W139" i="5" s="1"/>
  <c r="N138" i="5"/>
  <c r="W138" i="5" s="1"/>
  <c r="M137" i="5"/>
  <c r="N137" i="5" s="1"/>
  <c r="U137" i="5" s="1"/>
  <c r="L137" i="5"/>
  <c r="N136" i="5"/>
  <c r="U136" i="5" s="1"/>
  <c r="V136" i="5" s="1"/>
  <c r="N135" i="5"/>
  <c r="W135" i="5" s="1"/>
  <c r="N134" i="5"/>
  <c r="W134" i="5" s="1"/>
  <c r="N133" i="5"/>
  <c r="U133" i="5" s="1"/>
  <c r="V133" i="5" s="1"/>
  <c r="N132" i="5"/>
  <c r="U132" i="5" s="1"/>
  <c r="V132" i="5" s="1"/>
  <c r="M131" i="5"/>
  <c r="N130" i="5"/>
  <c r="W130" i="5" s="1"/>
  <c r="N129" i="5"/>
  <c r="U129" i="5" s="1"/>
  <c r="V129" i="5" s="1"/>
  <c r="M129" i="5"/>
  <c r="N128" i="5"/>
  <c r="W128" i="5" s="1"/>
  <c r="N127" i="5"/>
  <c r="W127" i="5" s="1"/>
  <c r="N126" i="5"/>
  <c r="U126" i="5" s="1"/>
  <c r="V126" i="5" s="1"/>
  <c r="N125" i="5"/>
  <c r="W125" i="5" s="1"/>
  <c r="N124" i="5"/>
  <c r="W124" i="5" s="1"/>
  <c r="N123" i="5"/>
  <c r="W123" i="5" s="1"/>
  <c r="N122" i="5"/>
  <c r="W122" i="5" s="1"/>
  <c r="N121" i="5"/>
  <c r="W121" i="5" s="1"/>
  <c r="N120" i="5"/>
  <c r="W120" i="5" s="1"/>
  <c r="N119" i="5"/>
  <c r="U119" i="5" s="1"/>
  <c r="V119" i="5" s="1"/>
  <c r="N118" i="5"/>
  <c r="W118" i="5" s="1"/>
  <c r="N117" i="5"/>
  <c r="W117" i="5" s="1"/>
  <c r="N116" i="5"/>
  <c r="W116" i="5" s="1"/>
  <c r="N115" i="5"/>
  <c r="W115" i="5" s="1"/>
  <c r="N114" i="5"/>
  <c r="W114" i="5" s="1"/>
  <c r="N113" i="5"/>
  <c r="U113" i="5" s="1"/>
  <c r="V113" i="5" s="1"/>
  <c r="N112" i="5"/>
  <c r="W112" i="5" s="1"/>
  <c r="O111" i="5"/>
  <c r="N111" i="5"/>
  <c r="U111" i="5" s="1"/>
  <c r="N110" i="5"/>
  <c r="U110" i="5" s="1"/>
  <c r="V110" i="5" s="1"/>
  <c r="N109" i="5"/>
  <c r="M109" i="5"/>
  <c r="N108" i="5"/>
  <c r="W108" i="5" s="1"/>
  <c r="P107" i="5"/>
  <c r="N107" i="5"/>
  <c r="U107" i="5" s="1"/>
  <c r="M107" i="5"/>
  <c r="N106" i="5"/>
  <c r="W106" i="5" s="1"/>
  <c r="N105" i="5"/>
  <c r="W105" i="5" s="1"/>
  <c r="L105" i="5"/>
  <c r="N104" i="5"/>
  <c r="N103" i="5"/>
  <c r="N102" i="5"/>
  <c r="W102" i="5" s="1"/>
  <c r="N101" i="5"/>
  <c r="N100" i="5"/>
  <c r="M99" i="5"/>
  <c r="L99" i="5"/>
  <c r="N99" i="5" s="1"/>
  <c r="N98" i="5"/>
  <c r="N97" i="5"/>
  <c r="N96" i="5"/>
  <c r="N95" i="5"/>
  <c r="M95" i="5"/>
  <c r="M217" i="5" s="1"/>
  <c r="L95" i="5"/>
  <c r="N94" i="5"/>
  <c r="U94" i="5" s="1"/>
  <c r="V94" i="5" s="1"/>
  <c r="N93" i="5"/>
  <c r="N92" i="5"/>
  <c r="J91" i="5"/>
  <c r="J217" i="5" s="1"/>
  <c r="I91" i="5"/>
  <c r="H91" i="5"/>
  <c r="N90" i="5"/>
  <c r="W90" i="5" s="1"/>
  <c r="N89" i="5"/>
  <c r="U89" i="5" s="1"/>
  <c r="V89" i="5" s="1"/>
  <c r="N88" i="5"/>
  <c r="U88" i="5" s="1"/>
  <c r="V88" i="5" s="1"/>
  <c r="N87" i="5"/>
  <c r="W87" i="5" s="1"/>
  <c r="N86" i="5"/>
  <c r="W86" i="5" s="1"/>
  <c r="N85" i="5"/>
  <c r="U85" i="5" s="1"/>
  <c r="V85" i="5" s="1"/>
  <c r="L84" i="5"/>
  <c r="H83" i="5"/>
  <c r="N83" i="5" s="1"/>
  <c r="L82" i="5"/>
  <c r="N81" i="5"/>
  <c r="L81" i="5"/>
  <c r="H81" i="5"/>
  <c r="H217" i="5" s="1"/>
  <c r="P79" i="5"/>
  <c r="N79" i="5"/>
  <c r="U79" i="5" s="1"/>
  <c r="V79" i="5" s="1"/>
  <c r="N78" i="5"/>
  <c r="W78" i="5" s="1"/>
  <c r="N77" i="5"/>
  <c r="U77" i="5" s="1"/>
  <c r="V77" i="5" s="1"/>
  <c r="O76" i="5"/>
  <c r="N76" i="5"/>
  <c r="W76" i="5" s="1"/>
  <c r="N75" i="5"/>
  <c r="O74" i="5"/>
  <c r="M74" i="5"/>
  <c r="N74" i="5" s="1"/>
  <c r="N73" i="5"/>
  <c r="M72" i="5"/>
  <c r="L72" i="5"/>
  <c r="N71" i="5"/>
  <c r="U71" i="5" s="1"/>
  <c r="V71" i="5" s="1"/>
  <c r="N70" i="5"/>
  <c r="L70" i="5"/>
  <c r="N69" i="5"/>
  <c r="W69" i="5" s="1"/>
  <c r="O68" i="5"/>
  <c r="N68" i="5"/>
  <c r="U68" i="5" s="1"/>
  <c r="N67" i="5"/>
  <c r="L67" i="5"/>
  <c r="N66" i="5"/>
  <c r="W66" i="5" s="1"/>
  <c r="N65" i="5"/>
  <c r="W65" i="5" s="1"/>
  <c r="N64" i="5"/>
  <c r="W64" i="5" s="1"/>
  <c r="N63" i="5"/>
  <c r="W63" i="5" s="1"/>
  <c r="M63" i="5"/>
  <c r="N62" i="5"/>
  <c r="N61" i="5"/>
  <c r="M61" i="5"/>
  <c r="M60" i="5"/>
  <c r="N59" i="5"/>
  <c r="O58" i="5"/>
  <c r="M58" i="5"/>
  <c r="L58" i="5"/>
  <c r="N58" i="5" s="1"/>
  <c r="O57" i="5"/>
  <c r="N57" i="5"/>
  <c r="W57" i="5" s="1"/>
  <c r="M57" i="5"/>
  <c r="O56" i="5"/>
  <c r="M56" i="5"/>
  <c r="L56" i="5"/>
  <c r="N55" i="5"/>
  <c r="N54" i="5"/>
  <c r="N53" i="5"/>
  <c r="N52" i="5"/>
  <c r="N51" i="5"/>
  <c r="N50" i="5"/>
  <c r="N49" i="5"/>
  <c r="N48" i="5"/>
  <c r="N47" i="5"/>
  <c r="N46" i="5"/>
  <c r="M46" i="5"/>
  <c r="O45" i="5"/>
  <c r="M45" i="5"/>
  <c r="N45" i="5" s="1"/>
  <c r="U45" i="5" s="1"/>
  <c r="V45" i="5" s="1"/>
  <c r="P44" i="5"/>
  <c r="O44" i="5"/>
  <c r="O40" i="5" s="1"/>
  <c r="L44" i="5"/>
  <c r="L40" i="5" s="1"/>
  <c r="L43" i="5"/>
  <c r="N43" i="5" s="1"/>
  <c r="M42" i="5"/>
  <c r="W41" i="5"/>
  <c r="V41" i="5"/>
  <c r="T40" i="5"/>
  <c r="T80" i="5" s="1"/>
  <c r="S40" i="5"/>
  <c r="S80" i="5" s="1"/>
  <c r="R40" i="5"/>
  <c r="R80" i="5" s="1"/>
  <c r="Q40" i="5"/>
  <c r="Q80" i="5" s="1"/>
  <c r="P40" i="5"/>
  <c r="P80" i="5" s="1"/>
  <c r="K40" i="5"/>
  <c r="K80" i="5" s="1"/>
  <c r="J40" i="5"/>
  <c r="I40" i="5"/>
  <c r="I80" i="5" s="1"/>
  <c r="H40" i="5"/>
  <c r="G40" i="5"/>
  <c r="G80" i="5" s="1"/>
  <c r="U39" i="5"/>
  <c r="V39" i="5" s="1"/>
  <c r="N39" i="5"/>
  <c r="W39" i="5" s="1"/>
  <c r="G38" i="5"/>
  <c r="N38" i="5" s="1"/>
  <c r="W38" i="5" s="1"/>
  <c r="O37" i="5"/>
  <c r="M37" i="5"/>
  <c r="L37" i="5"/>
  <c r="O36" i="5"/>
  <c r="N36" i="5"/>
  <c r="W36" i="5" s="1"/>
  <c r="H36" i="5"/>
  <c r="N35" i="5"/>
  <c r="W35" i="5" s="1"/>
  <c r="O34" i="5"/>
  <c r="N34" i="5"/>
  <c r="W34" i="5" s="1"/>
  <c r="M33" i="5"/>
  <c r="N33" i="5" s="1"/>
  <c r="U33" i="5" s="1"/>
  <c r="V33" i="5" s="1"/>
  <c r="N32" i="5"/>
  <c r="U32" i="5" s="1"/>
  <c r="V32" i="5" s="1"/>
  <c r="N31" i="5"/>
  <c r="U31" i="5" s="1"/>
  <c r="V31" i="5" s="1"/>
  <c r="N30" i="5"/>
  <c r="U30" i="5" s="1"/>
  <c r="V30" i="5" s="1"/>
  <c r="O29" i="5"/>
  <c r="H29" i="5"/>
  <c r="O28" i="5"/>
  <c r="L28" i="5"/>
  <c r="N28" i="5" s="1"/>
  <c r="U28" i="5" s="1"/>
  <c r="V28" i="5" s="1"/>
  <c r="L27" i="5"/>
  <c r="N26" i="5"/>
  <c r="W26" i="5" s="1"/>
  <c r="L26" i="5"/>
  <c r="N25" i="5"/>
  <c r="W25" i="5" s="1"/>
  <c r="N24" i="5"/>
  <c r="W24" i="5" s="1"/>
  <c r="N23" i="5"/>
  <c r="U23" i="5" s="1"/>
  <c r="V23" i="5" s="1"/>
  <c r="N22" i="5"/>
  <c r="W22" i="5" s="1"/>
  <c r="N21" i="5"/>
  <c r="W21" i="5" s="1"/>
  <c r="N20" i="5"/>
  <c r="U20" i="5" s="1"/>
  <c r="V20" i="5" s="1"/>
  <c r="N19" i="5"/>
  <c r="W19" i="5" s="1"/>
  <c r="N18" i="5"/>
  <c r="W18" i="5" s="1"/>
  <c r="N17" i="5"/>
  <c r="W17" i="5" s="1"/>
  <c r="N16" i="5"/>
  <c r="W16" i="5" s="1"/>
  <c r="O15" i="5"/>
  <c r="N15" i="5"/>
  <c r="U15" i="5" s="1"/>
  <c r="O14" i="5"/>
  <c r="N14" i="5"/>
  <c r="U14" i="5" s="1"/>
  <c r="V14" i="5" s="1"/>
  <c r="L13" i="5"/>
  <c r="H13" i="5"/>
  <c r="U22" i="5" l="1"/>
  <c r="V22" i="5" s="1"/>
  <c r="W71" i="5"/>
  <c r="W89" i="5"/>
  <c r="W187" i="5"/>
  <c r="P245" i="5"/>
  <c r="P268" i="5" s="1"/>
  <c r="W23" i="5"/>
  <c r="U188" i="5"/>
  <c r="V188" i="5" s="1"/>
  <c r="W113" i="5"/>
  <c r="U142" i="5"/>
  <c r="W85" i="5"/>
  <c r="U108" i="5"/>
  <c r="V108" i="5" s="1"/>
  <c r="W185" i="5"/>
  <c r="W94" i="5"/>
  <c r="U102" i="5"/>
  <c r="V102" i="5" s="1"/>
  <c r="U171" i="5"/>
  <c r="V171" i="5" s="1"/>
  <c r="W32" i="5"/>
  <c r="U17" i="5"/>
  <c r="V17" i="5" s="1"/>
  <c r="W79" i="5"/>
  <c r="W30" i="5"/>
  <c r="W119" i="5"/>
  <c r="W126" i="5"/>
  <c r="U135" i="5"/>
  <c r="V135" i="5" s="1"/>
  <c r="U164" i="5"/>
  <c r="V164" i="5" s="1"/>
  <c r="W192" i="5"/>
  <c r="U19" i="5"/>
  <c r="V19" i="5" s="1"/>
  <c r="U87" i="5"/>
  <c r="V87" i="5" s="1"/>
  <c r="U120" i="5"/>
  <c r="V120" i="5" s="1"/>
  <c r="W88" i="5"/>
  <c r="W33" i="5"/>
  <c r="U38" i="5"/>
  <c r="V38" i="5" s="1"/>
  <c r="W77" i="5"/>
  <c r="U115" i="5"/>
  <c r="V115" i="5" s="1"/>
  <c r="U122" i="5"/>
  <c r="V122" i="5" s="1"/>
  <c r="U138" i="5"/>
  <c r="V138" i="5" s="1"/>
  <c r="W110" i="5"/>
  <c r="U117" i="5"/>
  <c r="V117" i="5" s="1"/>
  <c r="W132" i="5"/>
  <c r="U170" i="5"/>
  <c r="V170" i="5" s="1"/>
  <c r="U35" i="5"/>
  <c r="V35" i="5" s="1"/>
  <c r="U65" i="5"/>
  <c r="V65" i="5" s="1"/>
  <c r="U106" i="5"/>
  <c r="V106" i="5" s="1"/>
  <c r="U124" i="5"/>
  <c r="V124" i="5" s="1"/>
  <c r="U153" i="5"/>
  <c r="V153" i="5" s="1"/>
  <c r="W189" i="5"/>
  <c r="W183" i="5"/>
  <c r="U241" i="5"/>
  <c r="V241" i="5" s="1"/>
  <c r="N244" i="5"/>
  <c r="U244" i="5" s="1"/>
  <c r="Q265" i="5"/>
  <c r="W28" i="5"/>
  <c r="U76" i="5"/>
  <c r="V76" i="5" s="1"/>
  <c r="U116" i="5"/>
  <c r="V116" i="5" s="1"/>
  <c r="U125" i="5"/>
  <c r="V125" i="5" s="1"/>
  <c r="U155" i="5"/>
  <c r="V155" i="5" s="1"/>
  <c r="U161" i="5"/>
  <c r="V161" i="5" s="1"/>
  <c r="U167" i="5"/>
  <c r="V167" i="5" s="1"/>
  <c r="U181" i="5"/>
  <c r="V181" i="5" s="1"/>
  <c r="U190" i="5"/>
  <c r="V190" i="5" s="1"/>
  <c r="U66" i="5"/>
  <c r="V66" i="5" s="1"/>
  <c r="U86" i="5"/>
  <c r="V86" i="5" s="1"/>
  <c r="U90" i="5"/>
  <c r="V90" i="5" s="1"/>
  <c r="W14" i="5"/>
  <c r="U112" i="5"/>
  <c r="V112" i="5" s="1"/>
  <c r="U121" i="5"/>
  <c r="V121" i="5" s="1"/>
  <c r="W136" i="5"/>
  <c r="U172" i="5"/>
  <c r="V172" i="5" s="1"/>
  <c r="W186" i="5"/>
  <c r="U156" i="5"/>
  <c r="V156" i="5" s="1"/>
  <c r="U182" i="5"/>
  <c r="V182" i="5" s="1"/>
  <c r="U191" i="5"/>
  <c r="V191" i="5" s="1"/>
  <c r="U147" i="5"/>
  <c r="V147" i="5" s="1"/>
  <c r="U57" i="5"/>
  <c r="V57" i="5" s="1"/>
  <c r="U63" i="5"/>
  <c r="V63" i="5" s="1"/>
  <c r="W15" i="5"/>
  <c r="W20" i="5"/>
  <c r="U25" i="5"/>
  <c r="V25" i="5" s="1"/>
  <c r="W31" i="5"/>
  <c r="U105" i="5"/>
  <c r="V105" i="5" s="1"/>
  <c r="U118" i="5"/>
  <c r="V118" i="5" s="1"/>
  <c r="U127" i="5"/>
  <c r="V127" i="5" s="1"/>
  <c r="W133" i="5"/>
  <c r="U114" i="5"/>
  <c r="V114" i="5" s="1"/>
  <c r="U123" i="5"/>
  <c r="V123" i="5" s="1"/>
  <c r="U16" i="5"/>
  <c r="V16" i="5" s="1"/>
  <c r="U21" i="5"/>
  <c r="V21" i="5" s="1"/>
  <c r="U64" i="5"/>
  <c r="V64" i="5" s="1"/>
  <c r="U69" i="5"/>
  <c r="V69" i="5" s="1"/>
  <c r="U128" i="5"/>
  <c r="V128" i="5" s="1"/>
  <c r="U134" i="5"/>
  <c r="V134" i="5" s="1"/>
  <c r="U139" i="5"/>
  <c r="V139" i="5" s="1"/>
  <c r="U179" i="5"/>
  <c r="U184" i="5"/>
  <c r="V184" i="5" s="1"/>
  <c r="U193" i="5"/>
  <c r="V193" i="5" s="1"/>
  <c r="U242" i="5"/>
  <c r="V242" i="5" s="1"/>
  <c r="U149" i="5"/>
  <c r="V149" i="5" s="1"/>
  <c r="U154" i="5"/>
  <c r="V154" i="5" s="1"/>
  <c r="U174" i="5"/>
  <c r="V174" i="5" s="1"/>
  <c r="W180" i="5"/>
  <c r="W235" i="5"/>
  <c r="N239" i="5"/>
  <c r="W239" i="5" s="1"/>
  <c r="U236" i="5"/>
  <c r="V236" i="5" s="1"/>
  <c r="W236" i="5"/>
  <c r="U198" i="5"/>
  <c r="V198" i="5" s="1"/>
  <c r="U204" i="5"/>
  <c r="V204" i="5" s="1"/>
  <c r="U210" i="5"/>
  <c r="V210" i="5" s="1"/>
  <c r="U216" i="5"/>
  <c r="V216" i="5" s="1"/>
  <c r="U237" i="5"/>
  <c r="V237" i="5" s="1"/>
  <c r="U231" i="5"/>
  <c r="V231" i="5" s="1"/>
  <c r="W238" i="5"/>
  <c r="U201" i="5"/>
  <c r="V201" i="5" s="1"/>
  <c r="W232" i="5"/>
  <c r="Q245" i="5"/>
  <c r="Q268" i="5" s="1"/>
  <c r="S245" i="5"/>
  <c r="S268" i="5" s="1"/>
  <c r="U195" i="5"/>
  <c r="V195" i="5" s="1"/>
  <c r="U207" i="5"/>
  <c r="V207" i="5" s="1"/>
  <c r="U213" i="5"/>
  <c r="V213" i="5" s="1"/>
  <c r="L80" i="5"/>
  <c r="W53" i="5"/>
  <c r="U53" i="5"/>
  <c r="V53" i="5" s="1"/>
  <c r="U18" i="5"/>
  <c r="V18" i="5" s="1"/>
  <c r="U26" i="5"/>
  <c r="V26" i="5" s="1"/>
  <c r="O80" i="5"/>
  <c r="U55" i="5"/>
  <c r="V55" i="5" s="1"/>
  <c r="W55" i="5"/>
  <c r="U36" i="5"/>
  <c r="V36" i="5" s="1"/>
  <c r="W75" i="5"/>
  <c r="U75" i="5"/>
  <c r="V75" i="5" s="1"/>
  <c r="H254" i="5"/>
  <c r="H261" i="5"/>
  <c r="H257" i="5"/>
  <c r="W93" i="5"/>
  <c r="U93" i="5"/>
  <c r="V93" i="5" s="1"/>
  <c r="W177" i="5"/>
  <c r="U177" i="5"/>
  <c r="V177" i="5" s="1"/>
  <c r="V15" i="5"/>
  <c r="G260" i="5"/>
  <c r="G255" i="5"/>
  <c r="G245" i="5"/>
  <c r="G256" i="5"/>
  <c r="U49" i="5"/>
  <c r="V49" i="5" s="1"/>
  <c r="W49" i="5"/>
  <c r="N56" i="5"/>
  <c r="U67" i="5"/>
  <c r="V67" i="5" s="1"/>
  <c r="W67" i="5"/>
  <c r="L217" i="5"/>
  <c r="U98" i="5"/>
  <c r="V98" i="5" s="1"/>
  <c r="W98" i="5"/>
  <c r="W152" i="5"/>
  <c r="U152" i="5"/>
  <c r="V152" i="5" s="1"/>
  <c r="W81" i="5"/>
  <c r="U81" i="5"/>
  <c r="W103" i="5"/>
  <c r="U103" i="5"/>
  <c r="V103" i="5" s="1"/>
  <c r="R245" i="5"/>
  <c r="R268" i="5" s="1"/>
  <c r="N27" i="5"/>
  <c r="W50" i="5"/>
  <c r="U50" i="5"/>
  <c r="V50" i="5" s="1"/>
  <c r="W163" i="5"/>
  <c r="U163" i="5"/>
  <c r="V163" i="5" s="1"/>
  <c r="W169" i="5"/>
  <c r="U169" i="5"/>
  <c r="V169" i="5" s="1"/>
  <c r="W43" i="5"/>
  <c r="U43" i="5"/>
  <c r="V43" i="5" s="1"/>
  <c r="W73" i="5"/>
  <c r="U73" i="5"/>
  <c r="V73" i="5" s="1"/>
  <c r="I260" i="5"/>
  <c r="I255" i="5"/>
  <c r="I256" i="5"/>
  <c r="N13" i="5"/>
  <c r="W51" i="5"/>
  <c r="U51" i="5"/>
  <c r="V51" i="5" s="1"/>
  <c r="N82" i="5"/>
  <c r="U59" i="5"/>
  <c r="V59" i="5" s="1"/>
  <c r="W59" i="5"/>
  <c r="W99" i="5"/>
  <c r="U99" i="5"/>
  <c r="V99" i="5" s="1"/>
  <c r="H80" i="5"/>
  <c r="H265" i="5" s="1"/>
  <c r="W107" i="5"/>
  <c r="U24" i="5"/>
  <c r="V24" i="5" s="1"/>
  <c r="U34" i="5"/>
  <c r="V34" i="5" s="1"/>
  <c r="W111" i="5"/>
  <c r="W143" i="5"/>
  <c r="U143" i="5"/>
  <c r="V143" i="5" s="1"/>
  <c r="W61" i="5"/>
  <c r="U61" i="5"/>
  <c r="V61" i="5" s="1"/>
  <c r="V68" i="5"/>
  <c r="W104" i="5"/>
  <c r="U104" i="5"/>
  <c r="V104" i="5" s="1"/>
  <c r="K260" i="5"/>
  <c r="K255" i="5"/>
  <c r="K245" i="5"/>
  <c r="K256" i="5"/>
  <c r="N60" i="5"/>
  <c r="W68" i="5"/>
  <c r="J80" i="5"/>
  <c r="W197" i="5"/>
  <c r="U197" i="5"/>
  <c r="V197" i="5" s="1"/>
  <c r="W203" i="5"/>
  <c r="U203" i="5"/>
  <c r="V203" i="5" s="1"/>
  <c r="W209" i="5"/>
  <c r="U209" i="5"/>
  <c r="V209" i="5" s="1"/>
  <c r="W215" i="5"/>
  <c r="U215" i="5"/>
  <c r="V215" i="5" s="1"/>
  <c r="W240" i="5"/>
  <c r="U240" i="5"/>
  <c r="V240" i="5" s="1"/>
  <c r="W45" i="5"/>
  <c r="U52" i="5"/>
  <c r="V52" i="5" s="1"/>
  <c r="W52" i="5"/>
  <c r="N72" i="5"/>
  <c r="W100" i="5"/>
  <c r="U100" i="5"/>
  <c r="V100" i="5" s="1"/>
  <c r="V179" i="5"/>
  <c r="V111" i="5"/>
  <c r="N42" i="5"/>
  <c r="M40" i="5"/>
  <c r="W83" i="5"/>
  <c r="U83" i="5"/>
  <c r="V83" i="5" s="1"/>
  <c r="I217" i="5"/>
  <c r="I245" i="5" s="1"/>
  <c r="N91" i="5"/>
  <c r="M261" i="5"/>
  <c r="M257" i="5"/>
  <c r="M254" i="5"/>
  <c r="N131" i="5"/>
  <c r="J261" i="5"/>
  <c r="J257" i="5"/>
  <c r="J254" i="5"/>
  <c r="U95" i="5"/>
  <c r="V95" i="5" s="1"/>
  <c r="W95" i="5"/>
  <c r="W101" i="5"/>
  <c r="U101" i="5"/>
  <c r="V101" i="5" s="1"/>
  <c r="W141" i="5"/>
  <c r="U141" i="5"/>
  <c r="V141" i="5" s="1"/>
  <c r="P265" i="5"/>
  <c r="W54" i="5"/>
  <c r="U54" i="5"/>
  <c r="V54" i="5" s="1"/>
  <c r="W74" i="5"/>
  <c r="U74" i="5"/>
  <c r="N84" i="5"/>
  <c r="W109" i="5"/>
  <c r="U109" i="5"/>
  <c r="V109" i="5" s="1"/>
  <c r="V137" i="5"/>
  <c r="W160" i="5"/>
  <c r="U160" i="5"/>
  <c r="V160" i="5" s="1"/>
  <c r="W166" i="5"/>
  <c r="U166" i="5"/>
  <c r="V166" i="5" s="1"/>
  <c r="U194" i="5"/>
  <c r="V194" i="5" s="1"/>
  <c r="U46" i="5"/>
  <c r="V46" i="5" s="1"/>
  <c r="W46" i="5"/>
  <c r="N44" i="5"/>
  <c r="W70" i="5"/>
  <c r="U70" i="5"/>
  <c r="V70" i="5" s="1"/>
  <c r="U78" i="5"/>
  <c r="V78" i="5" s="1"/>
  <c r="W96" i="5"/>
  <c r="U96" i="5"/>
  <c r="V96" i="5" s="1"/>
  <c r="W47" i="5"/>
  <c r="U47" i="5"/>
  <c r="V47" i="5" s="1"/>
  <c r="W62" i="5"/>
  <c r="U62" i="5"/>
  <c r="V62" i="5" s="1"/>
  <c r="W92" i="5"/>
  <c r="U92" i="5"/>
  <c r="V92" i="5" s="1"/>
  <c r="N29" i="5"/>
  <c r="R265" i="5"/>
  <c r="W48" i="5"/>
  <c r="U48" i="5"/>
  <c r="V48" i="5" s="1"/>
  <c r="W58" i="5"/>
  <c r="U58" i="5"/>
  <c r="V58" i="5" s="1"/>
  <c r="V74" i="5"/>
  <c r="W97" i="5"/>
  <c r="U97" i="5"/>
  <c r="V97" i="5" s="1"/>
  <c r="W137" i="5"/>
  <c r="V142" i="5"/>
  <c r="W200" i="5"/>
  <c r="U200" i="5"/>
  <c r="V200" i="5" s="1"/>
  <c r="W206" i="5"/>
  <c r="U206" i="5"/>
  <c r="V206" i="5" s="1"/>
  <c r="W212" i="5"/>
  <c r="U212" i="5"/>
  <c r="V212" i="5" s="1"/>
  <c r="K261" i="5"/>
  <c r="K257" i="5"/>
  <c r="K254" i="5"/>
  <c r="N37" i="5"/>
  <c r="W129" i="5"/>
  <c r="W140" i="5"/>
  <c r="W157" i="5"/>
  <c r="W220" i="5"/>
  <c r="W223" i="5"/>
  <c r="W226" i="5"/>
  <c r="W229" i="5"/>
  <c r="G257" i="5"/>
  <c r="K265" i="5"/>
  <c r="U130" i="5"/>
  <c r="V130" i="5" s="1"/>
  <c r="U145" i="5"/>
  <c r="V145" i="5" s="1"/>
  <c r="U150" i="5"/>
  <c r="V150" i="5" s="1"/>
  <c r="U158" i="5"/>
  <c r="V158" i="5" s="1"/>
  <c r="U218" i="5"/>
  <c r="V218" i="5" s="1"/>
  <c r="U221" i="5"/>
  <c r="V221" i="5" s="1"/>
  <c r="U224" i="5"/>
  <c r="V224" i="5" s="1"/>
  <c r="U227" i="5"/>
  <c r="V227" i="5" s="1"/>
  <c r="U232" i="5"/>
  <c r="V232" i="5" s="1"/>
  <c r="L234" i="5"/>
  <c r="L258" i="5" s="1"/>
  <c r="N148" i="5"/>
  <c r="O217" i="5"/>
  <c r="O245" i="5" s="1"/>
  <c r="N230" i="5"/>
  <c r="N234" i="5" s="1"/>
  <c r="G261" i="5"/>
  <c r="V107" i="5"/>
  <c r="U175" i="5"/>
  <c r="V175" i="5" s="1"/>
  <c r="W218" i="5"/>
  <c r="N159" i="5"/>
  <c r="U173" i="5"/>
  <c r="V173" i="5" s="1"/>
  <c r="U178" i="5"/>
  <c r="V178" i="5" s="1"/>
  <c r="U219" i="5"/>
  <c r="V219" i="5" s="1"/>
  <c r="U222" i="5"/>
  <c r="V222" i="5" s="1"/>
  <c r="U225" i="5"/>
  <c r="V225" i="5" s="1"/>
  <c r="U228" i="5"/>
  <c r="V228" i="5" s="1"/>
  <c r="U233" i="5"/>
  <c r="V233" i="5" s="1"/>
  <c r="U146" i="5"/>
  <c r="V146" i="5" s="1"/>
  <c r="N151" i="5"/>
  <c r="N144" i="5"/>
  <c r="U162" i="5"/>
  <c r="V162" i="5" s="1"/>
  <c r="U165" i="5"/>
  <c r="V165" i="5" s="1"/>
  <c r="U168" i="5"/>
  <c r="V168" i="5" s="1"/>
  <c r="U176" i="5"/>
  <c r="V176" i="5" s="1"/>
  <c r="U196" i="5"/>
  <c r="V196" i="5" s="1"/>
  <c r="U199" i="5"/>
  <c r="V199" i="5" s="1"/>
  <c r="U202" i="5"/>
  <c r="V202" i="5" s="1"/>
  <c r="U205" i="5"/>
  <c r="V205" i="5" s="1"/>
  <c r="U208" i="5"/>
  <c r="V208" i="5" s="1"/>
  <c r="U211" i="5"/>
  <c r="V211" i="5" s="1"/>
  <c r="U214" i="5"/>
  <c r="V214" i="5" s="1"/>
  <c r="T217" i="5"/>
  <c r="U243" i="5"/>
  <c r="V243" i="5" s="1"/>
  <c r="G254" i="5"/>
  <c r="S265" i="5"/>
  <c r="G265" i="5"/>
  <c r="P193" i="4"/>
  <c r="U239" i="5" l="1"/>
  <c r="V239" i="5" s="1"/>
  <c r="P266" i="5"/>
  <c r="N217" i="5"/>
  <c r="W217" i="5" s="1"/>
  <c r="O265" i="5"/>
  <c r="O266" i="5" s="1"/>
  <c r="G266" i="5"/>
  <c r="K266" i="5"/>
  <c r="Q266" i="5"/>
  <c r="S266" i="5"/>
  <c r="L265" i="5"/>
  <c r="I267" i="5"/>
  <c r="I263" i="5"/>
  <c r="I253" i="5"/>
  <c r="I268" i="5"/>
  <c r="R266" i="5"/>
  <c r="H260" i="5"/>
  <c r="H255" i="5"/>
  <c r="H245" i="5"/>
  <c r="H266" i="5" s="1"/>
  <c r="H256" i="5"/>
  <c r="T245" i="5"/>
  <c r="T268" i="5" s="1"/>
  <c r="W29" i="5"/>
  <c r="U29" i="5"/>
  <c r="V29" i="5" s="1"/>
  <c r="M80" i="5"/>
  <c r="M265" i="5" s="1"/>
  <c r="J260" i="5"/>
  <c r="J255" i="5"/>
  <c r="J256" i="5"/>
  <c r="J265" i="5"/>
  <c r="V81" i="5"/>
  <c r="W13" i="5"/>
  <c r="U13" i="5"/>
  <c r="V13" i="5" s="1"/>
  <c r="T265" i="5"/>
  <c r="W230" i="5"/>
  <c r="U230" i="5"/>
  <c r="V230" i="5" s="1"/>
  <c r="L245" i="5"/>
  <c r="W42" i="5"/>
  <c r="U42" i="5"/>
  <c r="V42" i="5" s="1"/>
  <c r="U60" i="5"/>
  <c r="V60" i="5" s="1"/>
  <c r="W60" i="5"/>
  <c r="I265" i="5"/>
  <c r="I266" i="5" s="1"/>
  <c r="G253" i="5"/>
  <c r="G268" i="5"/>
  <c r="G267" i="5"/>
  <c r="G263" i="5"/>
  <c r="W37" i="5"/>
  <c r="U37" i="5"/>
  <c r="V37" i="5" s="1"/>
  <c r="O267" i="5"/>
  <c r="O263" i="5"/>
  <c r="O253" i="5"/>
  <c r="O268" i="5"/>
  <c r="W131" i="5"/>
  <c r="U131" i="5"/>
  <c r="V131" i="5" s="1"/>
  <c r="O261" i="5"/>
  <c r="O257" i="5"/>
  <c r="O254" i="5"/>
  <c r="J245" i="5"/>
  <c r="N40" i="5"/>
  <c r="W151" i="5"/>
  <c r="U151" i="5"/>
  <c r="V151" i="5" s="1"/>
  <c r="W148" i="5"/>
  <c r="U148" i="5"/>
  <c r="V148" i="5" s="1"/>
  <c r="K267" i="5"/>
  <c r="K263" i="5"/>
  <c r="K253" i="5"/>
  <c r="K268" i="5"/>
  <c r="W44" i="5"/>
  <c r="U44" i="5"/>
  <c r="V44" i="5" s="1"/>
  <c r="W27" i="5"/>
  <c r="U27" i="5"/>
  <c r="V27" i="5" s="1"/>
  <c r="L261" i="5"/>
  <c r="L257" i="5"/>
  <c r="L254" i="5"/>
  <c r="L256" i="5"/>
  <c r="L260" i="5"/>
  <c r="L255" i="5"/>
  <c r="W159" i="5"/>
  <c r="U159" i="5"/>
  <c r="V159" i="5" s="1"/>
  <c r="W84" i="5"/>
  <c r="U84" i="5"/>
  <c r="V84" i="5" s="1"/>
  <c r="W234" i="5"/>
  <c r="U234" i="5"/>
  <c r="U258" i="5" s="1"/>
  <c r="W244" i="5"/>
  <c r="V244" i="5"/>
  <c r="W91" i="5"/>
  <c r="U91" i="5"/>
  <c r="V91" i="5" s="1"/>
  <c r="U72" i="5"/>
  <c r="V72" i="5" s="1"/>
  <c r="W72" i="5"/>
  <c r="O256" i="5"/>
  <c r="O260" i="5"/>
  <c r="O255" i="5"/>
  <c r="U144" i="5"/>
  <c r="V144" i="5" s="1"/>
  <c r="W144" i="5"/>
  <c r="I254" i="5"/>
  <c r="I261" i="5"/>
  <c r="I257" i="5"/>
  <c r="W82" i="5"/>
  <c r="U82" i="5"/>
  <c r="V82" i="5" s="1"/>
  <c r="W56" i="5"/>
  <c r="U56" i="5"/>
  <c r="V56" i="5" s="1"/>
  <c r="P106" i="4"/>
  <c r="P216" i="4" s="1"/>
  <c r="Q216" i="4"/>
  <c r="R216" i="4"/>
  <c r="S216" i="4"/>
  <c r="P78" i="4"/>
  <c r="P77" i="4"/>
  <c r="T242" i="4"/>
  <c r="S242" i="4"/>
  <c r="R242" i="4"/>
  <c r="Q242" i="4"/>
  <c r="P242" i="4"/>
  <c r="O242" i="4"/>
  <c r="M242" i="4"/>
  <c r="L242" i="4"/>
  <c r="K242" i="4"/>
  <c r="J242" i="4"/>
  <c r="I242" i="4"/>
  <c r="H242" i="4"/>
  <c r="G242" i="4"/>
  <c r="N241" i="4"/>
  <c r="U241" i="4" s="1"/>
  <c r="V241" i="4" s="1"/>
  <c r="N240" i="4"/>
  <c r="U240" i="4" s="1"/>
  <c r="V240" i="4" s="1"/>
  <c r="N239" i="4"/>
  <c r="U239" i="4" s="1"/>
  <c r="V239" i="4" s="1"/>
  <c r="T238" i="4"/>
  <c r="S238" i="4"/>
  <c r="R238" i="4"/>
  <c r="Q238" i="4"/>
  <c r="P238" i="4"/>
  <c r="O238" i="4"/>
  <c r="M238" i="4"/>
  <c r="L238" i="4"/>
  <c r="K238" i="4"/>
  <c r="J238" i="4"/>
  <c r="I238" i="4"/>
  <c r="H238" i="4"/>
  <c r="G238" i="4"/>
  <c r="N237" i="4"/>
  <c r="N236" i="4"/>
  <c r="N235" i="4"/>
  <c r="U235" i="4" s="1"/>
  <c r="V235" i="4" s="1"/>
  <c r="N234" i="4"/>
  <c r="U234" i="4" s="1"/>
  <c r="V234" i="4" s="1"/>
  <c r="T233" i="4"/>
  <c r="S233" i="4"/>
  <c r="R233" i="4"/>
  <c r="Q233" i="4"/>
  <c r="P233" i="4"/>
  <c r="K233" i="4"/>
  <c r="K256" i="4" s="1"/>
  <c r="J233" i="4"/>
  <c r="J256" i="4" s="1"/>
  <c r="I233" i="4"/>
  <c r="I256" i="4" s="1"/>
  <c r="H233" i="4"/>
  <c r="H256" i="4" s="1"/>
  <c r="G233" i="4"/>
  <c r="G256" i="4" s="1"/>
  <c r="N232" i="4"/>
  <c r="O231" i="4"/>
  <c r="N231" i="4"/>
  <c r="N230" i="4"/>
  <c r="O229" i="4"/>
  <c r="M229" i="4"/>
  <c r="M233" i="4" s="1"/>
  <c r="M256" i="4" s="1"/>
  <c r="L229" i="4"/>
  <c r="L233" i="4" s="1"/>
  <c r="L256" i="4" s="1"/>
  <c r="N228" i="4"/>
  <c r="U228" i="4" s="1"/>
  <c r="V228" i="4" s="1"/>
  <c r="N227" i="4"/>
  <c r="N226" i="4"/>
  <c r="U226" i="4" s="1"/>
  <c r="V226" i="4" s="1"/>
  <c r="N225" i="4"/>
  <c r="U225" i="4" s="1"/>
  <c r="V225" i="4" s="1"/>
  <c r="N224" i="4"/>
  <c r="N223" i="4"/>
  <c r="U223" i="4" s="1"/>
  <c r="V223" i="4" s="1"/>
  <c r="N222" i="4"/>
  <c r="U222" i="4" s="1"/>
  <c r="V222" i="4" s="1"/>
  <c r="N221" i="4"/>
  <c r="U221" i="4" s="1"/>
  <c r="V221" i="4" s="1"/>
  <c r="N220" i="4"/>
  <c r="U220" i="4" s="1"/>
  <c r="V220" i="4" s="1"/>
  <c r="N219" i="4"/>
  <c r="U219" i="4" s="1"/>
  <c r="V219" i="4" s="1"/>
  <c r="N218" i="4"/>
  <c r="U218" i="4" s="1"/>
  <c r="V218" i="4" s="1"/>
  <c r="O217" i="4"/>
  <c r="N217" i="4"/>
  <c r="K216" i="4"/>
  <c r="K255" i="4" s="1"/>
  <c r="G216" i="4"/>
  <c r="G252" i="4" s="1"/>
  <c r="N215" i="4"/>
  <c r="N214" i="4"/>
  <c r="N213" i="4"/>
  <c r="U213" i="4" s="1"/>
  <c r="V213" i="4" s="1"/>
  <c r="N212" i="4"/>
  <c r="U212" i="4" s="1"/>
  <c r="V212" i="4" s="1"/>
  <c r="N211" i="4"/>
  <c r="U211" i="4" s="1"/>
  <c r="V211" i="4" s="1"/>
  <c r="N210" i="4"/>
  <c r="U210" i="4" s="1"/>
  <c r="V210" i="4" s="1"/>
  <c r="N209" i="4"/>
  <c r="U209" i="4" s="1"/>
  <c r="V209" i="4" s="1"/>
  <c r="N208" i="4"/>
  <c r="N207" i="4"/>
  <c r="N206" i="4"/>
  <c r="U206" i="4" s="1"/>
  <c r="V206" i="4" s="1"/>
  <c r="N205" i="4"/>
  <c r="N204" i="4"/>
  <c r="U204" i="4" s="1"/>
  <c r="V204" i="4" s="1"/>
  <c r="N203" i="4"/>
  <c r="U203" i="4" s="1"/>
  <c r="V203" i="4" s="1"/>
  <c r="N202" i="4"/>
  <c r="N201" i="4"/>
  <c r="U201" i="4" s="1"/>
  <c r="V201" i="4" s="1"/>
  <c r="N200" i="4"/>
  <c r="U200" i="4" s="1"/>
  <c r="V200" i="4" s="1"/>
  <c r="N199" i="4"/>
  <c r="N198" i="4"/>
  <c r="N197" i="4"/>
  <c r="N196" i="4"/>
  <c r="U196" i="4" s="1"/>
  <c r="V196" i="4" s="1"/>
  <c r="N195" i="4"/>
  <c r="U195" i="4" s="1"/>
  <c r="V195" i="4" s="1"/>
  <c r="N194" i="4"/>
  <c r="N193" i="4"/>
  <c r="U193" i="4" s="1"/>
  <c r="V193" i="4" s="1"/>
  <c r="N192" i="4"/>
  <c r="U192" i="4" s="1"/>
  <c r="V192" i="4" s="1"/>
  <c r="N191" i="4"/>
  <c r="U191" i="4" s="1"/>
  <c r="V191" i="4" s="1"/>
  <c r="N190" i="4"/>
  <c r="U190" i="4" s="1"/>
  <c r="V190" i="4" s="1"/>
  <c r="N189" i="4"/>
  <c r="N188" i="4"/>
  <c r="N187" i="4"/>
  <c r="U187" i="4" s="1"/>
  <c r="V187" i="4" s="1"/>
  <c r="N186" i="4"/>
  <c r="U186" i="4" s="1"/>
  <c r="V186" i="4" s="1"/>
  <c r="N185" i="4"/>
  <c r="N184" i="4"/>
  <c r="U184" i="4" s="1"/>
  <c r="V184" i="4" s="1"/>
  <c r="N183" i="4"/>
  <c r="U183" i="4" s="1"/>
  <c r="V183" i="4" s="1"/>
  <c r="N182" i="4"/>
  <c r="U182" i="4" s="1"/>
  <c r="V182" i="4" s="1"/>
  <c r="N181" i="4"/>
  <c r="N180" i="4"/>
  <c r="N179" i="4"/>
  <c r="T178" i="4"/>
  <c r="N178" i="4"/>
  <c r="T177" i="4"/>
  <c r="N177" i="4"/>
  <c r="T176" i="4"/>
  <c r="N176" i="4"/>
  <c r="U176" i="4" s="1"/>
  <c r="V176" i="4" s="1"/>
  <c r="N175" i="4"/>
  <c r="T174" i="4"/>
  <c r="N174" i="4"/>
  <c r="T173" i="4"/>
  <c r="N173" i="4"/>
  <c r="T172" i="4"/>
  <c r="N172" i="4"/>
  <c r="N171" i="4"/>
  <c r="T170" i="4"/>
  <c r="N170" i="4"/>
  <c r="N169" i="4"/>
  <c r="N168" i="4"/>
  <c r="U168" i="4" s="1"/>
  <c r="V168" i="4" s="1"/>
  <c r="N167" i="4"/>
  <c r="N166" i="4"/>
  <c r="N165" i="4"/>
  <c r="U165" i="4" s="1"/>
  <c r="V165" i="4" s="1"/>
  <c r="N164" i="4"/>
  <c r="N163" i="4"/>
  <c r="N162" i="4"/>
  <c r="N161" i="4"/>
  <c r="N160" i="4"/>
  <c r="L159" i="4"/>
  <c r="N159" i="4" s="1"/>
  <c r="U159" i="4" s="1"/>
  <c r="V159" i="4" s="1"/>
  <c r="L158" i="4"/>
  <c r="N157" i="4"/>
  <c r="M156" i="4"/>
  <c r="N156" i="4" s="1"/>
  <c r="N155" i="4"/>
  <c r="U155" i="4" s="1"/>
  <c r="V155" i="4" s="1"/>
  <c r="N154" i="4"/>
  <c r="N153" i="4"/>
  <c r="U153" i="4" s="1"/>
  <c r="V153" i="4" s="1"/>
  <c r="M152" i="4"/>
  <c r="N151" i="4"/>
  <c r="U151" i="4" s="1"/>
  <c r="V151" i="4" s="1"/>
  <c r="M150" i="4"/>
  <c r="L150" i="4"/>
  <c r="M149" i="4"/>
  <c r="N148" i="4"/>
  <c r="O147" i="4"/>
  <c r="M147" i="4"/>
  <c r="N147" i="4" s="1"/>
  <c r="U147" i="4" s="1"/>
  <c r="N146" i="4"/>
  <c r="O145" i="4"/>
  <c r="N145" i="4"/>
  <c r="N144" i="4"/>
  <c r="M144" i="4"/>
  <c r="L143" i="4"/>
  <c r="N143" i="4" s="1"/>
  <c r="U143" i="4" s="1"/>
  <c r="M142" i="4"/>
  <c r="N142" i="4" s="1"/>
  <c r="O141" i="4"/>
  <c r="M141" i="4"/>
  <c r="N141" i="4" s="1"/>
  <c r="U141" i="4" s="1"/>
  <c r="L141" i="4"/>
  <c r="O140" i="4"/>
  <c r="M140" i="4"/>
  <c r="N140" i="4" s="1"/>
  <c r="M139" i="4"/>
  <c r="N138" i="4"/>
  <c r="U138" i="4" s="1"/>
  <c r="V138" i="4" s="1"/>
  <c r="N137" i="4"/>
  <c r="U137" i="4" s="1"/>
  <c r="V137" i="4" s="1"/>
  <c r="M136" i="4"/>
  <c r="L136" i="4"/>
  <c r="N135" i="4"/>
  <c r="N134" i="4"/>
  <c r="N133" i="4"/>
  <c r="N132" i="4"/>
  <c r="U132" i="4" s="1"/>
  <c r="V132" i="4" s="1"/>
  <c r="N131" i="4"/>
  <c r="M130" i="4"/>
  <c r="N130" i="4" s="1"/>
  <c r="N129" i="4"/>
  <c r="U129" i="4" s="1"/>
  <c r="V129" i="4" s="1"/>
  <c r="M128" i="4"/>
  <c r="N128" i="4" s="1"/>
  <c r="N127" i="4"/>
  <c r="N126" i="4"/>
  <c r="U126" i="4" s="1"/>
  <c r="V126" i="4" s="1"/>
  <c r="N125" i="4"/>
  <c r="N124" i="4"/>
  <c r="U124" i="4" s="1"/>
  <c r="V124" i="4" s="1"/>
  <c r="N123" i="4"/>
  <c r="U123" i="4" s="1"/>
  <c r="V123" i="4" s="1"/>
  <c r="N122" i="4"/>
  <c r="N121" i="4"/>
  <c r="N120" i="4"/>
  <c r="N119" i="4"/>
  <c r="U119" i="4" s="1"/>
  <c r="V119" i="4" s="1"/>
  <c r="N118" i="4"/>
  <c r="N117" i="4"/>
  <c r="N116" i="4"/>
  <c r="U116" i="4" s="1"/>
  <c r="V116" i="4" s="1"/>
  <c r="N115" i="4"/>
  <c r="U115" i="4" s="1"/>
  <c r="V115" i="4" s="1"/>
  <c r="N114" i="4"/>
  <c r="U114" i="4" s="1"/>
  <c r="V114" i="4" s="1"/>
  <c r="N113" i="4"/>
  <c r="U113" i="4" s="1"/>
  <c r="V113" i="4" s="1"/>
  <c r="N112" i="4"/>
  <c r="N111" i="4"/>
  <c r="U111" i="4" s="1"/>
  <c r="V111" i="4" s="1"/>
  <c r="O110" i="4"/>
  <c r="N110" i="4"/>
  <c r="N109" i="4"/>
  <c r="M108" i="4"/>
  <c r="N108" i="4" s="1"/>
  <c r="U108" i="4" s="1"/>
  <c r="N107" i="4"/>
  <c r="U107" i="4" s="1"/>
  <c r="V107" i="4" s="1"/>
  <c r="M106" i="4"/>
  <c r="N106" i="4" s="1"/>
  <c r="N105" i="4"/>
  <c r="L104" i="4"/>
  <c r="N104" i="4" s="1"/>
  <c r="U104" i="4" s="1"/>
  <c r="N103" i="4"/>
  <c r="U103" i="4" s="1"/>
  <c r="V103" i="4" s="1"/>
  <c r="N102" i="4"/>
  <c r="U102" i="4" s="1"/>
  <c r="V102" i="4" s="1"/>
  <c r="N101" i="4"/>
  <c r="N100" i="4"/>
  <c r="U100" i="4" s="1"/>
  <c r="V100" i="4" s="1"/>
  <c r="N99" i="4"/>
  <c r="U99" i="4" s="1"/>
  <c r="V99" i="4" s="1"/>
  <c r="M98" i="4"/>
  <c r="L98" i="4"/>
  <c r="N97" i="4"/>
  <c r="N96" i="4"/>
  <c r="U96" i="4" s="1"/>
  <c r="V96" i="4" s="1"/>
  <c r="N95" i="4"/>
  <c r="U95" i="4" s="1"/>
  <c r="V95" i="4" s="1"/>
  <c r="M94" i="4"/>
  <c r="M216" i="4" s="1"/>
  <c r="L94" i="4"/>
  <c r="N93" i="4"/>
  <c r="N92" i="4"/>
  <c r="U92" i="4" s="1"/>
  <c r="V92" i="4" s="1"/>
  <c r="N91" i="4"/>
  <c r="U91" i="4" s="1"/>
  <c r="V91" i="4" s="1"/>
  <c r="J90" i="4"/>
  <c r="J216" i="4" s="1"/>
  <c r="I90" i="4"/>
  <c r="H90" i="4"/>
  <c r="N89" i="4"/>
  <c r="N88" i="4"/>
  <c r="U88" i="4" s="1"/>
  <c r="V88" i="4" s="1"/>
  <c r="N87" i="4"/>
  <c r="N86" i="4"/>
  <c r="N85" i="4"/>
  <c r="U85" i="4" s="1"/>
  <c r="V85" i="4" s="1"/>
  <c r="N84" i="4"/>
  <c r="L83" i="4"/>
  <c r="H82" i="4"/>
  <c r="N82" i="4" s="1"/>
  <c r="L81" i="4"/>
  <c r="L80" i="4"/>
  <c r="H80" i="4"/>
  <c r="N78" i="4"/>
  <c r="U78" i="4" s="1"/>
  <c r="V78" i="4" s="1"/>
  <c r="N77" i="4"/>
  <c r="N76" i="4"/>
  <c r="U76" i="4" s="1"/>
  <c r="V76" i="4" s="1"/>
  <c r="O75" i="4"/>
  <c r="N75" i="4"/>
  <c r="N74" i="4"/>
  <c r="O73" i="4"/>
  <c r="M73" i="4"/>
  <c r="N73" i="4" s="1"/>
  <c r="N72" i="4"/>
  <c r="M71" i="4"/>
  <c r="L71" i="4"/>
  <c r="N70" i="4"/>
  <c r="U70" i="4" s="1"/>
  <c r="V70" i="4" s="1"/>
  <c r="L69" i="4"/>
  <c r="N69" i="4" s="1"/>
  <c r="U69" i="4" s="1"/>
  <c r="V69" i="4" s="1"/>
  <c r="N68" i="4"/>
  <c r="O67" i="4"/>
  <c r="N67" i="4"/>
  <c r="L66" i="4"/>
  <c r="N66" i="4" s="1"/>
  <c r="U66" i="4" s="1"/>
  <c r="N65" i="4"/>
  <c r="N64" i="4"/>
  <c r="N63" i="4"/>
  <c r="U63" i="4" s="1"/>
  <c r="V63" i="4" s="1"/>
  <c r="M62" i="4"/>
  <c r="N62" i="4" s="1"/>
  <c r="U62" i="4" s="1"/>
  <c r="V62" i="4" s="1"/>
  <c r="N61" i="4"/>
  <c r="M60" i="4"/>
  <c r="M59" i="4"/>
  <c r="N58" i="4"/>
  <c r="U58" i="4" s="1"/>
  <c r="V58" i="4" s="1"/>
  <c r="O57" i="4"/>
  <c r="M57" i="4"/>
  <c r="L57" i="4"/>
  <c r="O56" i="4"/>
  <c r="M56" i="4"/>
  <c r="N56" i="4" s="1"/>
  <c r="O55" i="4"/>
  <c r="M55" i="4"/>
  <c r="L55" i="4"/>
  <c r="N54" i="4"/>
  <c r="U54" i="4" s="1"/>
  <c r="V54" i="4" s="1"/>
  <c r="N53" i="4"/>
  <c r="N52" i="4"/>
  <c r="N51" i="4"/>
  <c r="U51" i="4" s="1"/>
  <c r="V51" i="4" s="1"/>
  <c r="N50" i="4"/>
  <c r="U50" i="4" s="1"/>
  <c r="V50" i="4" s="1"/>
  <c r="N49" i="4"/>
  <c r="N48" i="4"/>
  <c r="U48" i="4" s="1"/>
  <c r="V48" i="4" s="1"/>
  <c r="N47" i="4"/>
  <c r="N46" i="4"/>
  <c r="M45" i="4"/>
  <c r="O44" i="4"/>
  <c r="M44" i="4"/>
  <c r="P43" i="4"/>
  <c r="O43" i="4"/>
  <c r="L43" i="4"/>
  <c r="N43" i="4" s="1"/>
  <c r="L42" i="4"/>
  <c r="M41" i="4"/>
  <c r="N41" i="4" s="1"/>
  <c r="W40" i="4"/>
  <c r="V40" i="4"/>
  <c r="T39" i="4"/>
  <c r="S39" i="4"/>
  <c r="S79" i="4" s="1"/>
  <c r="R39" i="4"/>
  <c r="Q39" i="4"/>
  <c r="P39" i="4"/>
  <c r="K39" i="4"/>
  <c r="K79" i="4" s="1"/>
  <c r="J39" i="4"/>
  <c r="I39" i="4"/>
  <c r="H39" i="4"/>
  <c r="G39" i="4"/>
  <c r="N38" i="4"/>
  <c r="G37" i="4"/>
  <c r="N37" i="4" s="1"/>
  <c r="O36" i="4"/>
  <c r="M36" i="4"/>
  <c r="L36" i="4"/>
  <c r="N36" i="4" s="1"/>
  <c r="O35" i="4"/>
  <c r="H35" i="4"/>
  <c r="N35" i="4" s="1"/>
  <c r="N34" i="4"/>
  <c r="U34" i="4" s="1"/>
  <c r="V34" i="4" s="1"/>
  <c r="O33" i="4"/>
  <c r="N33" i="4"/>
  <c r="U33" i="4" s="1"/>
  <c r="V33" i="4" s="1"/>
  <c r="M32" i="4"/>
  <c r="N32" i="4" s="1"/>
  <c r="N31" i="4"/>
  <c r="N30" i="4"/>
  <c r="U30" i="4" s="1"/>
  <c r="V30" i="4" s="1"/>
  <c r="N29" i="4"/>
  <c r="U29" i="4" s="1"/>
  <c r="V29" i="4" s="1"/>
  <c r="O28" i="4"/>
  <c r="H28" i="4"/>
  <c r="N28" i="4" s="1"/>
  <c r="O27" i="4"/>
  <c r="L27" i="4"/>
  <c r="N27" i="4" s="1"/>
  <c r="L26" i="4"/>
  <c r="N26" i="4" s="1"/>
  <c r="L25" i="4"/>
  <c r="N25" i="4" s="1"/>
  <c r="N24" i="4"/>
  <c r="U24" i="4" s="1"/>
  <c r="V24" i="4" s="1"/>
  <c r="N23" i="4"/>
  <c r="U23" i="4" s="1"/>
  <c r="V23" i="4" s="1"/>
  <c r="N22" i="4"/>
  <c r="N21" i="4"/>
  <c r="U21" i="4" s="1"/>
  <c r="V21" i="4" s="1"/>
  <c r="N20" i="4"/>
  <c r="U20" i="4" s="1"/>
  <c r="V20" i="4" s="1"/>
  <c r="N19" i="4"/>
  <c r="N18" i="4"/>
  <c r="U18" i="4" s="1"/>
  <c r="V18" i="4" s="1"/>
  <c r="N17" i="4"/>
  <c r="U17" i="4" s="1"/>
  <c r="V17" i="4" s="1"/>
  <c r="N16" i="4"/>
  <c r="N15" i="4"/>
  <c r="U15" i="4" s="1"/>
  <c r="V15" i="4" s="1"/>
  <c r="O14" i="4"/>
  <c r="N14" i="4"/>
  <c r="U14" i="4" s="1"/>
  <c r="V14" i="4" s="1"/>
  <c r="O13" i="4"/>
  <c r="N13" i="4"/>
  <c r="L12" i="4"/>
  <c r="H12" i="4"/>
  <c r="T266" i="5" l="1"/>
  <c r="V253" i="5"/>
  <c r="J266" i="5"/>
  <c r="U217" i="5"/>
  <c r="H268" i="5"/>
  <c r="H267" i="5"/>
  <c r="H263" i="5"/>
  <c r="H253" i="5"/>
  <c r="V234" i="5"/>
  <c r="W40" i="5"/>
  <c r="U40" i="5"/>
  <c r="N80" i="5"/>
  <c r="J267" i="5"/>
  <c r="J263" i="5"/>
  <c r="J253" i="5"/>
  <c r="J268" i="5"/>
  <c r="L267" i="5"/>
  <c r="L263" i="5"/>
  <c r="L253" i="5"/>
  <c r="L268" i="5"/>
  <c r="M245" i="5"/>
  <c r="M266" i="5" s="1"/>
  <c r="M256" i="5"/>
  <c r="M260" i="5"/>
  <c r="M255" i="5"/>
  <c r="L266" i="5"/>
  <c r="W227" i="4"/>
  <c r="W38" i="4"/>
  <c r="W49" i="4"/>
  <c r="N12" i="4"/>
  <c r="W31" i="4"/>
  <c r="W68" i="4"/>
  <c r="U177" i="4"/>
  <c r="V177" i="4" s="1"/>
  <c r="T216" i="4"/>
  <c r="W230" i="4"/>
  <c r="U43" i="4"/>
  <c r="W46" i="4"/>
  <c r="W105" i="4"/>
  <c r="W166" i="4"/>
  <c r="O216" i="4"/>
  <c r="N150" i="4"/>
  <c r="U150" i="4" s="1"/>
  <c r="V150" i="4" s="1"/>
  <c r="W74" i="4"/>
  <c r="W47" i="4"/>
  <c r="W175" i="4"/>
  <c r="W72" i="4"/>
  <c r="W112" i="4"/>
  <c r="U215" i="4"/>
  <c r="V215" i="4" s="1"/>
  <c r="N55" i="4"/>
  <c r="W181" i="4"/>
  <c r="W205" i="4"/>
  <c r="U130" i="4"/>
  <c r="U133" i="4"/>
  <c r="V133" i="4" s="1"/>
  <c r="U13" i="4"/>
  <c r="V13" i="4" s="1"/>
  <c r="G79" i="4"/>
  <c r="G253" i="4" s="1"/>
  <c r="N57" i="4"/>
  <c r="W78" i="4"/>
  <c r="W91" i="4"/>
  <c r="U170" i="4"/>
  <c r="V170" i="4" s="1"/>
  <c r="U173" i="4"/>
  <c r="V173" i="4" s="1"/>
  <c r="U122" i="4"/>
  <c r="V122" i="4" s="1"/>
  <c r="U199" i="4"/>
  <c r="V199" i="4" s="1"/>
  <c r="O233" i="4"/>
  <c r="O256" i="4" s="1"/>
  <c r="U181" i="4"/>
  <c r="V181" i="4" s="1"/>
  <c r="N149" i="4"/>
  <c r="O39" i="4"/>
  <c r="O79" i="4" s="1"/>
  <c r="U87" i="4"/>
  <c r="V87" i="4" s="1"/>
  <c r="U157" i="4"/>
  <c r="V157" i="4" s="1"/>
  <c r="U178" i="4"/>
  <c r="V178" i="4" s="1"/>
  <c r="U135" i="4"/>
  <c r="V135" i="4" s="1"/>
  <c r="U180" i="4"/>
  <c r="V180" i="4" s="1"/>
  <c r="U205" i="4"/>
  <c r="V205" i="4" s="1"/>
  <c r="U120" i="4"/>
  <c r="V120" i="4" s="1"/>
  <c r="U194" i="4"/>
  <c r="V194" i="4" s="1"/>
  <c r="U84" i="4"/>
  <c r="V84" i="4" s="1"/>
  <c r="V143" i="4"/>
  <c r="W111" i="4"/>
  <c r="U121" i="4"/>
  <c r="V121" i="4" s="1"/>
  <c r="U232" i="4"/>
  <c r="V232" i="4" s="1"/>
  <c r="U224" i="4"/>
  <c r="V224" i="4" s="1"/>
  <c r="U106" i="4"/>
  <c r="U57" i="4"/>
  <c r="V57" i="4" s="1"/>
  <c r="W88" i="4"/>
  <c r="W114" i="4"/>
  <c r="U146" i="4"/>
  <c r="V146" i="4" s="1"/>
  <c r="U189" i="4"/>
  <c r="V189" i="4" s="1"/>
  <c r="U208" i="4"/>
  <c r="V208" i="4" s="1"/>
  <c r="W211" i="4"/>
  <c r="W213" i="4"/>
  <c r="U64" i="4"/>
  <c r="V64" i="4" s="1"/>
  <c r="U144" i="4"/>
  <c r="V144" i="4" s="1"/>
  <c r="U161" i="4"/>
  <c r="V161" i="4" s="1"/>
  <c r="U207" i="4"/>
  <c r="V207" i="4" s="1"/>
  <c r="U65" i="4"/>
  <c r="V65" i="4" s="1"/>
  <c r="U117" i="4"/>
  <c r="V117" i="4" s="1"/>
  <c r="W153" i="4"/>
  <c r="W170" i="4"/>
  <c r="U185" i="4"/>
  <c r="V185" i="4" s="1"/>
  <c r="U202" i="4"/>
  <c r="V202" i="4" s="1"/>
  <c r="U227" i="4"/>
  <c r="V227" i="4" s="1"/>
  <c r="U134" i="4"/>
  <c r="V134" i="4" s="1"/>
  <c r="U163" i="4"/>
  <c r="V163" i="4" s="1"/>
  <c r="U198" i="4"/>
  <c r="V198" i="4" s="1"/>
  <c r="U230" i="4"/>
  <c r="V230" i="4" s="1"/>
  <c r="U214" i="4"/>
  <c r="V214" i="4" s="1"/>
  <c r="U154" i="4"/>
  <c r="V154" i="4" s="1"/>
  <c r="W107" i="4"/>
  <c r="W116" i="4"/>
  <c r="U160" i="4"/>
  <c r="V160" i="4" s="1"/>
  <c r="U171" i="4"/>
  <c r="V171" i="4" s="1"/>
  <c r="U175" i="4"/>
  <c r="V175" i="4" s="1"/>
  <c r="W115" i="4"/>
  <c r="U131" i="4"/>
  <c r="V131" i="4" s="1"/>
  <c r="K252" i="4"/>
  <c r="U97" i="4"/>
  <c r="V97" i="4" s="1"/>
  <c r="G255" i="4"/>
  <c r="G259" i="4"/>
  <c r="W96" i="4"/>
  <c r="W62" i="4"/>
  <c r="U41" i="4"/>
  <c r="V41" i="4" s="1"/>
  <c r="U56" i="4"/>
  <c r="V56" i="4" s="1"/>
  <c r="U75" i="4"/>
  <c r="V75" i="4" s="1"/>
  <c r="U74" i="4"/>
  <c r="V74" i="4" s="1"/>
  <c r="W58" i="4"/>
  <c r="U53" i="4"/>
  <c r="V53" i="4" s="1"/>
  <c r="U72" i="4"/>
  <c r="V72" i="4" s="1"/>
  <c r="U35" i="4"/>
  <c r="V35" i="4" s="1"/>
  <c r="U28" i="4"/>
  <c r="V28" i="4" s="1"/>
  <c r="W32" i="4"/>
  <c r="U32" i="4"/>
  <c r="V32" i="4" s="1"/>
  <c r="U27" i="4"/>
  <c r="V27" i="4" s="1"/>
  <c r="K258" i="4"/>
  <c r="K253" i="4"/>
  <c r="K254" i="4"/>
  <c r="K243" i="4"/>
  <c r="G254" i="4"/>
  <c r="U25" i="4"/>
  <c r="V25" i="4" s="1"/>
  <c r="U36" i="4"/>
  <c r="V36" i="4" s="1"/>
  <c r="U37" i="4"/>
  <c r="V37" i="4" s="1"/>
  <c r="U26" i="4"/>
  <c r="V26" i="4" s="1"/>
  <c r="M39" i="4"/>
  <c r="H79" i="4"/>
  <c r="U46" i="4"/>
  <c r="V46" i="4" s="1"/>
  <c r="N60" i="4"/>
  <c r="N71" i="4"/>
  <c r="U82" i="4"/>
  <c r="V82" i="4" s="1"/>
  <c r="U86" i="4"/>
  <c r="V86" i="4" s="1"/>
  <c r="U93" i="4"/>
  <c r="V93" i="4" s="1"/>
  <c r="V108" i="4"/>
  <c r="W140" i="4"/>
  <c r="U140" i="4"/>
  <c r="V140" i="4" s="1"/>
  <c r="I216" i="4"/>
  <c r="J259" i="4"/>
  <c r="J252" i="4"/>
  <c r="J255" i="4"/>
  <c r="U162" i="4"/>
  <c r="V162" i="4" s="1"/>
  <c r="U12" i="4"/>
  <c r="V12" i="4" s="1"/>
  <c r="N44" i="4"/>
  <c r="N45" i="4"/>
  <c r="U52" i="4"/>
  <c r="V52" i="4" s="1"/>
  <c r="V66" i="4"/>
  <c r="U68" i="4"/>
  <c r="V68" i="4" s="1"/>
  <c r="N81" i="4"/>
  <c r="N83" i="4"/>
  <c r="N90" i="4"/>
  <c r="M259" i="4"/>
  <c r="M252" i="4"/>
  <c r="M255" i="4"/>
  <c r="U101" i="4"/>
  <c r="V101" i="4" s="1"/>
  <c r="U105" i="4"/>
  <c r="V105" i="4" s="1"/>
  <c r="U110" i="4"/>
  <c r="V110" i="4" s="1"/>
  <c r="N136" i="4"/>
  <c r="N158" i="4"/>
  <c r="U167" i="4"/>
  <c r="V167" i="4" s="1"/>
  <c r="I79" i="4"/>
  <c r="U31" i="4"/>
  <c r="V31" i="4" s="1"/>
  <c r="U38" i="4"/>
  <c r="V38" i="4" s="1"/>
  <c r="N42" i="4"/>
  <c r="U47" i="4"/>
  <c r="V47" i="4" s="1"/>
  <c r="U55" i="4"/>
  <c r="V55" i="4" s="1"/>
  <c r="N59" i="4"/>
  <c r="U61" i="4"/>
  <c r="V61" i="4" s="1"/>
  <c r="U73" i="4"/>
  <c r="V73" i="4" s="1"/>
  <c r="P79" i="4"/>
  <c r="P243" i="4" s="1"/>
  <c r="N80" i="4"/>
  <c r="H216" i="4"/>
  <c r="U89" i="4"/>
  <c r="V89" i="4" s="1"/>
  <c r="N94" i="4"/>
  <c r="U112" i="4"/>
  <c r="V112" i="4" s="1"/>
  <c r="U118" i="4"/>
  <c r="V118" i="4" s="1"/>
  <c r="U125" i="4"/>
  <c r="V125" i="4" s="1"/>
  <c r="U127" i="4"/>
  <c r="V127" i="4" s="1"/>
  <c r="N139" i="4"/>
  <c r="U142" i="4"/>
  <c r="V142" i="4" s="1"/>
  <c r="U148" i="4"/>
  <c r="V148" i="4" s="1"/>
  <c r="U179" i="4"/>
  <c r="V179" i="4" s="1"/>
  <c r="U16" i="4"/>
  <c r="V16" i="4" s="1"/>
  <c r="U19" i="4"/>
  <c r="V19" i="4" s="1"/>
  <c r="U22" i="4"/>
  <c r="V22" i="4" s="1"/>
  <c r="K263" i="4"/>
  <c r="L39" i="4"/>
  <c r="S263" i="4"/>
  <c r="U49" i="4"/>
  <c r="V49" i="4" s="1"/>
  <c r="U67" i="4"/>
  <c r="V67" i="4" s="1"/>
  <c r="U77" i="4"/>
  <c r="V77" i="4" s="1"/>
  <c r="Q79" i="4"/>
  <c r="Q243" i="4" s="1"/>
  <c r="Q266" i="4" s="1"/>
  <c r="L216" i="4"/>
  <c r="N98" i="4"/>
  <c r="V104" i="4"/>
  <c r="U109" i="4"/>
  <c r="V109" i="4" s="1"/>
  <c r="N152" i="4"/>
  <c r="U156" i="4"/>
  <c r="V156" i="4" s="1"/>
  <c r="U164" i="4"/>
  <c r="V164" i="4" s="1"/>
  <c r="U188" i="4"/>
  <c r="V188" i="4" s="1"/>
  <c r="T79" i="4"/>
  <c r="V43" i="4"/>
  <c r="J79" i="4"/>
  <c r="J263" i="4" s="1"/>
  <c r="R79" i="4"/>
  <c r="R243" i="4" s="1"/>
  <c r="R266" i="4" s="1"/>
  <c r="U128" i="4"/>
  <c r="V128" i="4" s="1"/>
  <c r="U145" i="4"/>
  <c r="V145" i="4" s="1"/>
  <c r="U197" i="4"/>
  <c r="V197" i="4" s="1"/>
  <c r="U166" i="4"/>
  <c r="V166" i="4" s="1"/>
  <c r="U231" i="4"/>
  <c r="V231" i="4" s="1"/>
  <c r="N238" i="4"/>
  <c r="U172" i="4"/>
  <c r="V172" i="4" s="1"/>
  <c r="U237" i="4"/>
  <c r="V237" i="4" s="1"/>
  <c r="S243" i="4"/>
  <c r="S266" i="4" s="1"/>
  <c r="V147" i="4"/>
  <c r="U169" i="4"/>
  <c r="V169" i="4" s="1"/>
  <c r="W174" i="4"/>
  <c r="U174" i="4"/>
  <c r="V174" i="4" s="1"/>
  <c r="N242" i="4"/>
  <c r="V130" i="4"/>
  <c r="V141" i="4"/>
  <c r="U217" i="4"/>
  <c r="V217" i="4" s="1"/>
  <c r="N229" i="4"/>
  <c r="N233" i="4" s="1"/>
  <c r="U236" i="4"/>
  <c r="V236" i="4" s="1"/>
  <c r="K259" i="4"/>
  <c r="W40" i="1"/>
  <c r="T242" i="3"/>
  <c r="S242" i="3"/>
  <c r="R242" i="3"/>
  <c r="Q242" i="3"/>
  <c r="P242" i="3"/>
  <c r="N242" i="3"/>
  <c r="M242" i="3"/>
  <c r="L242" i="3"/>
  <c r="K242" i="3"/>
  <c r="J242" i="3"/>
  <c r="I242" i="3"/>
  <c r="H242" i="3"/>
  <c r="G242" i="3"/>
  <c r="O241" i="3"/>
  <c r="U241" i="3" s="1"/>
  <c r="V241" i="3" s="1"/>
  <c r="O240" i="3"/>
  <c r="U240" i="3" s="1"/>
  <c r="V240" i="3" s="1"/>
  <c r="O239" i="3"/>
  <c r="W239" i="4" s="1"/>
  <c r="T238" i="3"/>
  <c r="S238" i="3"/>
  <c r="R238" i="3"/>
  <c r="Q238" i="3"/>
  <c r="P238" i="3"/>
  <c r="N238" i="3"/>
  <c r="M238" i="3"/>
  <c r="L238" i="3"/>
  <c r="K238" i="3"/>
  <c r="J238" i="3"/>
  <c r="I238" i="3"/>
  <c r="H238" i="3"/>
  <c r="G238" i="3"/>
  <c r="O237" i="3"/>
  <c r="U237" i="3" s="1"/>
  <c r="V237" i="3" s="1"/>
  <c r="O236" i="3"/>
  <c r="W236" i="4" s="1"/>
  <c r="U235" i="3"/>
  <c r="V235" i="3" s="1"/>
  <c r="O235" i="3"/>
  <c r="W235" i="4" s="1"/>
  <c r="O234" i="3"/>
  <c r="U234" i="3" s="1"/>
  <c r="V234" i="3" s="1"/>
  <c r="T233" i="3"/>
  <c r="S233" i="3"/>
  <c r="R233" i="3"/>
  <c r="Q233" i="3"/>
  <c r="P233" i="3"/>
  <c r="K233" i="3"/>
  <c r="K257" i="3" s="1"/>
  <c r="J233" i="3"/>
  <c r="J257" i="3" s="1"/>
  <c r="I233" i="3"/>
  <c r="I257" i="3" s="1"/>
  <c r="H233" i="3"/>
  <c r="H257" i="3" s="1"/>
  <c r="G233" i="3"/>
  <c r="O232" i="3"/>
  <c r="U232" i="3" s="1"/>
  <c r="V232" i="3" s="1"/>
  <c r="N231" i="3"/>
  <c r="O231" i="3" s="1"/>
  <c r="U231" i="3" s="1"/>
  <c r="O230" i="3"/>
  <c r="U230" i="3" s="1"/>
  <c r="V230" i="3" s="1"/>
  <c r="N229" i="3"/>
  <c r="M229" i="3"/>
  <c r="M233" i="3" s="1"/>
  <c r="M257" i="3" s="1"/>
  <c r="L229" i="3"/>
  <c r="L233" i="3" s="1"/>
  <c r="L257" i="3" s="1"/>
  <c r="O228" i="3"/>
  <c r="U228" i="3" s="1"/>
  <c r="V228" i="3" s="1"/>
  <c r="O227" i="3"/>
  <c r="U227" i="3" s="1"/>
  <c r="V227" i="3" s="1"/>
  <c r="O226" i="3"/>
  <c r="U226" i="3" s="1"/>
  <c r="V226" i="3" s="1"/>
  <c r="O225" i="3"/>
  <c r="U225" i="3" s="1"/>
  <c r="V225" i="3" s="1"/>
  <c r="O224" i="3"/>
  <c r="W224" i="4" s="1"/>
  <c r="O223" i="3"/>
  <c r="U223" i="3" s="1"/>
  <c r="V223" i="3" s="1"/>
  <c r="O222" i="3"/>
  <c r="U222" i="3" s="1"/>
  <c r="V222" i="3" s="1"/>
  <c r="O221" i="3"/>
  <c r="W221" i="4" s="1"/>
  <c r="O220" i="3"/>
  <c r="U220" i="3" s="1"/>
  <c r="V220" i="3" s="1"/>
  <c r="O219" i="3"/>
  <c r="U219" i="3" s="1"/>
  <c r="V219" i="3" s="1"/>
  <c r="O218" i="3"/>
  <c r="U218" i="3" s="1"/>
  <c r="V218" i="3" s="1"/>
  <c r="N217" i="3"/>
  <c r="S216" i="3"/>
  <c r="R216" i="3"/>
  <c r="Q216" i="3"/>
  <c r="P216" i="3"/>
  <c r="K216" i="3"/>
  <c r="K260" i="3" s="1"/>
  <c r="G216" i="3"/>
  <c r="G253" i="3" s="1"/>
  <c r="O215" i="3"/>
  <c r="U215" i="3" s="1"/>
  <c r="V215" i="3" s="1"/>
  <c r="O214" i="3"/>
  <c r="U214" i="3" s="1"/>
  <c r="V214" i="3" s="1"/>
  <c r="O213" i="3"/>
  <c r="U213" i="3" s="1"/>
  <c r="V213" i="3" s="1"/>
  <c r="O212" i="3"/>
  <c r="U212" i="3" s="1"/>
  <c r="V212" i="3" s="1"/>
  <c r="O211" i="3"/>
  <c r="U211" i="3" s="1"/>
  <c r="V211" i="3" s="1"/>
  <c r="O210" i="3"/>
  <c r="W210" i="4" s="1"/>
  <c r="O209" i="3"/>
  <c r="U209" i="3" s="1"/>
  <c r="V209" i="3" s="1"/>
  <c r="O208" i="3"/>
  <c r="U208" i="3" s="1"/>
  <c r="V208" i="3" s="1"/>
  <c r="O207" i="3"/>
  <c r="U207" i="3" s="1"/>
  <c r="V207" i="3" s="1"/>
  <c r="O206" i="3"/>
  <c r="U206" i="3" s="1"/>
  <c r="V206" i="3" s="1"/>
  <c r="O205" i="3"/>
  <c r="U205" i="3" s="1"/>
  <c r="V205" i="3" s="1"/>
  <c r="O204" i="3"/>
  <c r="U204" i="3" s="1"/>
  <c r="V204" i="3" s="1"/>
  <c r="O203" i="3"/>
  <c r="U203" i="3" s="1"/>
  <c r="V203" i="3" s="1"/>
  <c r="O202" i="3"/>
  <c r="U202" i="3" s="1"/>
  <c r="V202" i="3" s="1"/>
  <c r="O201" i="3"/>
  <c r="U201" i="3" s="1"/>
  <c r="V201" i="3" s="1"/>
  <c r="O200" i="3"/>
  <c r="U200" i="3" s="1"/>
  <c r="V200" i="3" s="1"/>
  <c r="O199" i="3"/>
  <c r="U199" i="3" s="1"/>
  <c r="V199" i="3" s="1"/>
  <c r="O198" i="3"/>
  <c r="W198" i="4" s="1"/>
  <c r="O197" i="3"/>
  <c r="U197" i="3" s="1"/>
  <c r="V197" i="3" s="1"/>
  <c r="O196" i="3"/>
  <c r="U196" i="3" s="1"/>
  <c r="V196" i="3" s="1"/>
  <c r="O195" i="3"/>
  <c r="U195" i="3" s="1"/>
  <c r="V195" i="3" s="1"/>
  <c r="U194" i="3"/>
  <c r="V194" i="3" s="1"/>
  <c r="O194" i="3"/>
  <c r="W194" i="4" s="1"/>
  <c r="V193" i="3"/>
  <c r="O193" i="3"/>
  <c r="U193" i="3" s="1"/>
  <c r="O192" i="3"/>
  <c r="U192" i="3" s="1"/>
  <c r="V192" i="3" s="1"/>
  <c r="O191" i="3"/>
  <c r="U191" i="3" s="1"/>
  <c r="V191" i="3" s="1"/>
  <c r="O190" i="3"/>
  <c r="U190" i="3" s="1"/>
  <c r="V190" i="3" s="1"/>
  <c r="O189" i="3"/>
  <c r="U189" i="3" s="1"/>
  <c r="V189" i="3" s="1"/>
  <c r="O188" i="3"/>
  <c r="U188" i="3" s="1"/>
  <c r="V188" i="3" s="1"/>
  <c r="O187" i="3"/>
  <c r="U187" i="3" s="1"/>
  <c r="V187" i="3" s="1"/>
  <c r="O186" i="3"/>
  <c r="U186" i="3" s="1"/>
  <c r="V186" i="3" s="1"/>
  <c r="O185" i="3"/>
  <c r="U185" i="3" s="1"/>
  <c r="V185" i="3" s="1"/>
  <c r="O184" i="3"/>
  <c r="U184" i="3" s="1"/>
  <c r="V184" i="3" s="1"/>
  <c r="O183" i="3"/>
  <c r="U183" i="3" s="1"/>
  <c r="V183" i="3" s="1"/>
  <c r="O182" i="3"/>
  <c r="W182" i="4" s="1"/>
  <c r="O181" i="3"/>
  <c r="U181" i="3" s="1"/>
  <c r="V181" i="3" s="1"/>
  <c r="O180" i="3"/>
  <c r="U180" i="3" s="1"/>
  <c r="V180" i="3" s="1"/>
  <c r="O179" i="3"/>
  <c r="U179" i="3" s="1"/>
  <c r="V179" i="3" s="1"/>
  <c r="T178" i="3"/>
  <c r="O178" i="3"/>
  <c r="W178" i="4" s="1"/>
  <c r="T177" i="3"/>
  <c r="O177" i="3"/>
  <c r="W177" i="4" s="1"/>
  <c r="T176" i="3"/>
  <c r="O176" i="3"/>
  <c r="O175" i="3"/>
  <c r="U175" i="3" s="1"/>
  <c r="V175" i="3" s="1"/>
  <c r="T174" i="3"/>
  <c r="O174" i="3"/>
  <c r="T173" i="3"/>
  <c r="O173" i="3"/>
  <c r="W173" i="4" s="1"/>
  <c r="T172" i="3"/>
  <c r="O172" i="3"/>
  <c r="W172" i="4" s="1"/>
  <c r="O171" i="3"/>
  <c r="U171" i="3" s="1"/>
  <c r="V171" i="3" s="1"/>
  <c r="T170" i="3"/>
  <c r="O170" i="3"/>
  <c r="O169" i="3"/>
  <c r="U169" i="3" s="1"/>
  <c r="V169" i="3" s="1"/>
  <c r="O168" i="3"/>
  <c r="U168" i="3" s="1"/>
  <c r="V168" i="3" s="1"/>
  <c r="O167" i="3"/>
  <c r="U167" i="3" s="1"/>
  <c r="V167" i="3" s="1"/>
  <c r="O166" i="3"/>
  <c r="U166" i="3" s="1"/>
  <c r="V166" i="3" s="1"/>
  <c r="O165" i="3"/>
  <c r="W165" i="4" s="1"/>
  <c r="O164" i="3"/>
  <c r="U164" i="3" s="1"/>
  <c r="V164" i="3" s="1"/>
  <c r="O163" i="3"/>
  <c r="U163" i="3" s="1"/>
  <c r="V163" i="3" s="1"/>
  <c r="O162" i="3"/>
  <c r="U162" i="3" s="1"/>
  <c r="V162" i="3" s="1"/>
  <c r="U161" i="3"/>
  <c r="V161" i="3" s="1"/>
  <c r="O161" i="3"/>
  <c r="W161" i="4" s="1"/>
  <c r="O160" i="3"/>
  <c r="U160" i="3" s="1"/>
  <c r="V160" i="3" s="1"/>
  <c r="L159" i="3"/>
  <c r="O159" i="3" s="1"/>
  <c r="L158" i="3"/>
  <c r="O158" i="3" s="1"/>
  <c r="U158" i="3" s="1"/>
  <c r="V158" i="3" s="1"/>
  <c r="O157" i="3"/>
  <c r="W157" i="4" s="1"/>
  <c r="M156" i="3"/>
  <c r="O156" i="3" s="1"/>
  <c r="U156" i="3" s="1"/>
  <c r="V156" i="3" s="1"/>
  <c r="U155" i="3"/>
  <c r="V155" i="3" s="1"/>
  <c r="O155" i="3"/>
  <c r="W155" i="4" s="1"/>
  <c r="O154" i="3"/>
  <c r="U154" i="3" s="1"/>
  <c r="V154" i="3" s="1"/>
  <c r="O153" i="3"/>
  <c r="U153" i="3" s="1"/>
  <c r="V153" i="3" s="1"/>
  <c r="O152" i="3"/>
  <c r="U152" i="3" s="1"/>
  <c r="M152" i="3"/>
  <c r="O151" i="3"/>
  <c r="W151" i="4" s="1"/>
  <c r="M150" i="3"/>
  <c r="L150" i="3"/>
  <c r="O150" i="3" s="1"/>
  <c r="U150" i="3" s="1"/>
  <c r="V150" i="3" s="1"/>
  <c r="M149" i="3"/>
  <c r="U148" i="3"/>
  <c r="V148" i="3" s="1"/>
  <c r="O148" i="3"/>
  <c r="W148" i="4" s="1"/>
  <c r="N147" i="3"/>
  <c r="M147" i="3"/>
  <c r="O147" i="3" s="1"/>
  <c r="O146" i="3"/>
  <c r="U146" i="3" s="1"/>
  <c r="V146" i="3" s="1"/>
  <c r="N145" i="3"/>
  <c r="O145" i="3" s="1"/>
  <c r="M144" i="3"/>
  <c r="O144" i="3" s="1"/>
  <c r="U144" i="3" s="1"/>
  <c r="L143" i="3"/>
  <c r="M142" i="3"/>
  <c r="O142" i="3" s="1"/>
  <c r="N141" i="3"/>
  <c r="M141" i="3"/>
  <c r="L141" i="3"/>
  <c r="N140" i="3"/>
  <c r="M140" i="3"/>
  <c r="O140" i="3" s="1"/>
  <c r="U140" i="3" s="1"/>
  <c r="M139" i="3"/>
  <c r="O139" i="3" s="1"/>
  <c r="U139" i="3" s="1"/>
  <c r="O138" i="3"/>
  <c r="U138" i="3" s="1"/>
  <c r="V138" i="3" s="1"/>
  <c r="O137" i="3"/>
  <c r="U137" i="3" s="1"/>
  <c r="V137" i="3" s="1"/>
  <c r="M136" i="3"/>
  <c r="L136" i="3"/>
  <c r="O135" i="3"/>
  <c r="U135" i="3" s="1"/>
  <c r="V135" i="3" s="1"/>
  <c r="O134" i="3"/>
  <c r="U134" i="3" s="1"/>
  <c r="V134" i="3" s="1"/>
  <c r="O133" i="3"/>
  <c r="U133" i="3" s="1"/>
  <c r="V133" i="3" s="1"/>
  <c r="O132" i="3"/>
  <c r="U132" i="3" s="1"/>
  <c r="V132" i="3" s="1"/>
  <c r="O131" i="3"/>
  <c r="U131" i="3" s="1"/>
  <c r="V131" i="3" s="1"/>
  <c r="M130" i="3"/>
  <c r="O130" i="3" s="1"/>
  <c r="O129" i="3"/>
  <c r="W129" i="4" s="1"/>
  <c r="M128" i="3"/>
  <c r="O127" i="3"/>
  <c r="U127" i="3" s="1"/>
  <c r="V127" i="3" s="1"/>
  <c r="O126" i="3"/>
  <c r="W126" i="4" s="1"/>
  <c r="O125" i="3"/>
  <c r="U125" i="3" s="1"/>
  <c r="V125" i="3" s="1"/>
  <c r="O124" i="3"/>
  <c r="U124" i="3" s="1"/>
  <c r="V124" i="3" s="1"/>
  <c r="O123" i="3"/>
  <c r="U123" i="3" s="1"/>
  <c r="V123" i="3" s="1"/>
  <c r="O122" i="3"/>
  <c r="U122" i="3" s="1"/>
  <c r="V122" i="3" s="1"/>
  <c r="O121" i="3"/>
  <c r="U121" i="3" s="1"/>
  <c r="V121" i="3" s="1"/>
  <c r="O120" i="3"/>
  <c r="U120" i="3" s="1"/>
  <c r="V120" i="3" s="1"/>
  <c r="O119" i="3"/>
  <c r="U119" i="3" s="1"/>
  <c r="V119" i="3" s="1"/>
  <c r="U118" i="3"/>
  <c r="V118" i="3" s="1"/>
  <c r="O118" i="3"/>
  <c r="W118" i="4" s="1"/>
  <c r="O117" i="3"/>
  <c r="U117" i="3" s="1"/>
  <c r="V117" i="3" s="1"/>
  <c r="O116" i="3"/>
  <c r="U116" i="3" s="1"/>
  <c r="V116" i="3" s="1"/>
  <c r="O115" i="3"/>
  <c r="U115" i="3" s="1"/>
  <c r="V115" i="3" s="1"/>
  <c r="U114" i="3"/>
  <c r="V114" i="3" s="1"/>
  <c r="O114" i="3"/>
  <c r="O113" i="3"/>
  <c r="U113" i="3" s="1"/>
  <c r="V113" i="3" s="1"/>
  <c r="O112" i="3"/>
  <c r="U112" i="3" s="1"/>
  <c r="V112" i="3" s="1"/>
  <c r="O111" i="3"/>
  <c r="U111" i="3" s="1"/>
  <c r="V111" i="3" s="1"/>
  <c r="N110" i="3"/>
  <c r="O109" i="3"/>
  <c r="U109" i="3" s="1"/>
  <c r="V109" i="3" s="1"/>
  <c r="M108" i="3"/>
  <c r="O108" i="3" s="1"/>
  <c r="O107" i="3"/>
  <c r="U107" i="3" s="1"/>
  <c r="V107" i="3" s="1"/>
  <c r="M106" i="3"/>
  <c r="O106" i="3" s="1"/>
  <c r="U106" i="3" s="1"/>
  <c r="V106" i="3" s="1"/>
  <c r="U105" i="3"/>
  <c r="V105" i="3" s="1"/>
  <c r="O105" i="3"/>
  <c r="L104" i="3"/>
  <c r="O104" i="3" s="1"/>
  <c r="U104" i="3" s="1"/>
  <c r="V104" i="3" s="1"/>
  <c r="O103" i="3"/>
  <c r="U103" i="3" s="1"/>
  <c r="V103" i="3" s="1"/>
  <c r="O102" i="3"/>
  <c r="U102" i="3" s="1"/>
  <c r="V102" i="3" s="1"/>
  <c r="O101" i="3"/>
  <c r="U101" i="3" s="1"/>
  <c r="V101" i="3" s="1"/>
  <c r="O100" i="3"/>
  <c r="U100" i="3" s="1"/>
  <c r="V100" i="3" s="1"/>
  <c r="O99" i="3"/>
  <c r="U99" i="3" s="1"/>
  <c r="V99" i="3" s="1"/>
  <c r="M98" i="3"/>
  <c r="L98" i="3"/>
  <c r="O97" i="3"/>
  <c r="U97" i="3" s="1"/>
  <c r="V97" i="3" s="1"/>
  <c r="U96" i="3"/>
  <c r="V96" i="3" s="1"/>
  <c r="O96" i="3"/>
  <c r="O95" i="3"/>
  <c r="U95" i="3" s="1"/>
  <c r="V95" i="3" s="1"/>
  <c r="M94" i="3"/>
  <c r="L94" i="3"/>
  <c r="O93" i="3"/>
  <c r="U93" i="3" s="1"/>
  <c r="V93" i="3" s="1"/>
  <c r="O92" i="3"/>
  <c r="W92" i="4" s="1"/>
  <c r="O91" i="3"/>
  <c r="U91" i="3" s="1"/>
  <c r="V91" i="3" s="1"/>
  <c r="J90" i="3"/>
  <c r="J216" i="3" s="1"/>
  <c r="I90" i="3"/>
  <c r="I216" i="3" s="1"/>
  <c r="H90" i="3"/>
  <c r="U89" i="3"/>
  <c r="V89" i="3" s="1"/>
  <c r="O89" i="3"/>
  <c r="W89" i="4" s="1"/>
  <c r="O88" i="3"/>
  <c r="U88" i="3" s="1"/>
  <c r="V88" i="3" s="1"/>
  <c r="U87" i="3"/>
  <c r="V87" i="3" s="1"/>
  <c r="O87" i="3"/>
  <c r="W87" i="4" s="1"/>
  <c r="O86" i="3"/>
  <c r="U86" i="3" s="1"/>
  <c r="V86" i="3" s="1"/>
  <c r="O85" i="3"/>
  <c r="U85" i="3" s="1"/>
  <c r="V85" i="3" s="1"/>
  <c r="O84" i="3"/>
  <c r="U84" i="3" s="1"/>
  <c r="V84" i="3" s="1"/>
  <c r="L83" i="3"/>
  <c r="O83" i="3" s="1"/>
  <c r="U83" i="3" s="1"/>
  <c r="V83" i="3" s="1"/>
  <c r="H82" i="3"/>
  <c r="L81" i="3"/>
  <c r="O81" i="3" s="1"/>
  <c r="U81" i="3" s="1"/>
  <c r="L80" i="3"/>
  <c r="H80" i="3"/>
  <c r="O78" i="3"/>
  <c r="U78" i="3" s="1"/>
  <c r="V78" i="3" s="1"/>
  <c r="O77" i="3"/>
  <c r="W77" i="4" s="1"/>
  <c r="O76" i="3"/>
  <c r="U76" i="3" s="1"/>
  <c r="V76" i="3" s="1"/>
  <c r="N75" i="3"/>
  <c r="O75" i="3" s="1"/>
  <c r="U75" i="3" s="1"/>
  <c r="V75" i="3" s="1"/>
  <c r="O74" i="3"/>
  <c r="U74" i="3" s="1"/>
  <c r="V74" i="3" s="1"/>
  <c r="N73" i="3"/>
  <c r="M73" i="3"/>
  <c r="O72" i="3"/>
  <c r="U72" i="3" s="1"/>
  <c r="V72" i="3" s="1"/>
  <c r="M71" i="3"/>
  <c r="L71" i="3"/>
  <c r="O70" i="3"/>
  <c r="U70" i="3" s="1"/>
  <c r="V70" i="3" s="1"/>
  <c r="O69" i="3"/>
  <c r="U69" i="3" s="1"/>
  <c r="V69" i="3" s="1"/>
  <c r="L69" i="3"/>
  <c r="O68" i="3"/>
  <c r="U68" i="3" s="1"/>
  <c r="V68" i="3" s="1"/>
  <c r="N67" i="3"/>
  <c r="O67" i="3" s="1"/>
  <c r="U67" i="3" s="1"/>
  <c r="V67" i="3" s="1"/>
  <c r="L66" i="3"/>
  <c r="O65" i="3"/>
  <c r="U65" i="3" s="1"/>
  <c r="V65" i="3" s="1"/>
  <c r="O64" i="3"/>
  <c r="U64" i="3" s="1"/>
  <c r="V64" i="3" s="1"/>
  <c r="O63" i="3"/>
  <c r="U63" i="3" s="1"/>
  <c r="V63" i="3" s="1"/>
  <c r="O62" i="3"/>
  <c r="U62" i="3" s="1"/>
  <c r="V62" i="3" s="1"/>
  <c r="M62" i="3"/>
  <c r="O61" i="3"/>
  <c r="U61" i="3" s="1"/>
  <c r="V61" i="3" s="1"/>
  <c r="M60" i="3"/>
  <c r="O60" i="3" s="1"/>
  <c r="U60" i="3" s="1"/>
  <c r="V60" i="3" s="1"/>
  <c r="M59" i="3"/>
  <c r="O58" i="3"/>
  <c r="U58" i="3" s="1"/>
  <c r="V58" i="3" s="1"/>
  <c r="N57" i="3"/>
  <c r="M57" i="3"/>
  <c r="L57" i="3"/>
  <c r="O57" i="3" s="1"/>
  <c r="U57" i="3" s="1"/>
  <c r="V57" i="3" s="1"/>
  <c r="N56" i="3"/>
  <c r="M56" i="3"/>
  <c r="N55" i="3"/>
  <c r="M55" i="3"/>
  <c r="L55" i="3"/>
  <c r="O54" i="3"/>
  <c r="U54" i="3" s="1"/>
  <c r="V54" i="3" s="1"/>
  <c r="O53" i="3"/>
  <c r="U53" i="3" s="1"/>
  <c r="V53" i="3" s="1"/>
  <c r="O52" i="3"/>
  <c r="U52" i="3" s="1"/>
  <c r="V52" i="3" s="1"/>
  <c r="O51" i="3"/>
  <c r="U51" i="3" s="1"/>
  <c r="V51" i="3" s="1"/>
  <c r="O50" i="3"/>
  <c r="U50" i="3" s="1"/>
  <c r="V50" i="3" s="1"/>
  <c r="O49" i="3"/>
  <c r="U49" i="3" s="1"/>
  <c r="V49" i="3" s="1"/>
  <c r="O48" i="3"/>
  <c r="U48" i="3" s="1"/>
  <c r="V48" i="3" s="1"/>
  <c r="O47" i="3"/>
  <c r="U47" i="3" s="1"/>
  <c r="V47" i="3" s="1"/>
  <c r="O46" i="3"/>
  <c r="U46" i="3" s="1"/>
  <c r="V46" i="3" s="1"/>
  <c r="M45" i="3"/>
  <c r="O45" i="3" s="1"/>
  <c r="U45" i="3" s="1"/>
  <c r="V45" i="3" s="1"/>
  <c r="O44" i="3"/>
  <c r="U44" i="3" s="1"/>
  <c r="V44" i="3" s="1"/>
  <c r="N44" i="3"/>
  <c r="M44" i="3"/>
  <c r="P43" i="3"/>
  <c r="N43" i="3"/>
  <c r="N39" i="3" s="1"/>
  <c r="L43" i="3"/>
  <c r="O43" i="3" s="1"/>
  <c r="L42" i="3"/>
  <c r="M41" i="3"/>
  <c r="V40" i="3"/>
  <c r="T39" i="3"/>
  <c r="T79" i="3" s="1"/>
  <c r="S39" i="3"/>
  <c r="R39" i="3"/>
  <c r="Q39" i="3"/>
  <c r="K39" i="3"/>
  <c r="J39" i="3"/>
  <c r="I39" i="3"/>
  <c r="I79" i="3" s="1"/>
  <c r="H39" i="3"/>
  <c r="G39" i="3"/>
  <c r="O38" i="3"/>
  <c r="U38" i="3" s="1"/>
  <c r="V38" i="3" s="1"/>
  <c r="G37" i="3"/>
  <c r="N36" i="3"/>
  <c r="M36" i="3"/>
  <c r="L36" i="3"/>
  <c r="O36" i="3" s="1"/>
  <c r="U36" i="3" s="1"/>
  <c r="N35" i="3"/>
  <c r="H35" i="3"/>
  <c r="O34" i="3"/>
  <c r="U34" i="3" s="1"/>
  <c r="V34" i="3" s="1"/>
  <c r="N33" i="3"/>
  <c r="M32" i="3"/>
  <c r="O32" i="3" s="1"/>
  <c r="U32" i="3" s="1"/>
  <c r="V32" i="3" s="1"/>
  <c r="O31" i="3"/>
  <c r="U31" i="3" s="1"/>
  <c r="V31" i="3" s="1"/>
  <c r="O30" i="3"/>
  <c r="U30" i="3" s="1"/>
  <c r="V30" i="3" s="1"/>
  <c r="O29" i="3"/>
  <c r="U29" i="3" s="1"/>
  <c r="V29" i="3" s="1"/>
  <c r="N28" i="3"/>
  <c r="H28" i="3"/>
  <c r="O28" i="3" s="1"/>
  <c r="U28" i="3" s="1"/>
  <c r="N27" i="3"/>
  <c r="L27" i="3"/>
  <c r="L26" i="3"/>
  <c r="O26" i="3" s="1"/>
  <c r="L25" i="3"/>
  <c r="V24" i="3"/>
  <c r="O24" i="3"/>
  <c r="U24" i="3" s="1"/>
  <c r="O23" i="3"/>
  <c r="U23" i="3" s="1"/>
  <c r="V23" i="3" s="1"/>
  <c r="O22" i="3"/>
  <c r="U22" i="3" s="1"/>
  <c r="V22" i="3" s="1"/>
  <c r="O21" i="3"/>
  <c r="W21" i="4" s="1"/>
  <c r="O20" i="3"/>
  <c r="U20" i="3" s="1"/>
  <c r="V20" i="3" s="1"/>
  <c r="O19" i="3"/>
  <c r="U19" i="3" s="1"/>
  <c r="V19" i="3" s="1"/>
  <c r="V18" i="3"/>
  <c r="O18" i="3"/>
  <c r="U18" i="3" s="1"/>
  <c r="O17" i="3"/>
  <c r="U17" i="3" s="1"/>
  <c r="V17" i="3" s="1"/>
  <c r="O16" i="3"/>
  <c r="U16" i="3" s="1"/>
  <c r="V16" i="3" s="1"/>
  <c r="U15" i="3"/>
  <c r="V15" i="3" s="1"/>
  <c r="O15" i="3"/>
  <c r="W15" i="4" s="1"/>
  <c r="N14" i="3"/>
  <c r="O14" i="3" s="1"/>
  <c r="U14" i="3" s="1"/>
  <c r="V14" i="3" s="1"/>
  <c r="O13" i="3"/>
  <c r="U13" i="3" s="1"/>
  <c r="V13" i="3" s="1"/>
  <c r="N13" i="3"/>
  <c r="L12" i="3"/>
  <c r="H12" i="3"/>
  <c r="U257" i="5" l="1"/>
  <c r="U254" i="5"/>
  <c r="U261" i="5"/>
  <c r="V217" i="5"/>
  <c r="W80" i="5"/>
  <c r="N245" i="5"/>
  <c r="U80" i="5"/>
  <c r="U265" i="5" s="1"/>
  <c r="V40" i="5"/>
  <c r="M267" i="5"/>
  <c r="M263" i="5"/>
  <c r="M253" i="5"/>
  <c r="M268" i="5"/>
  <c r="U263" i="5"/>
  <c r="W145" i="4"/>
  <c r="U145" i="3"/>
  <c r="V145" i="3" s="1"/>
  <c r="U26" i="3"/>
  <c r="V26" i="3" s="1"/>
  <c r="W26" i="4"/>
  <c r="U147" i="3"/>
  <c r="V147" i="3" s="1"/>
  <c r="W147" i="4"/>
  <c r="U142" i="3"/>
  <c r="V142" i="3" s="1"/>
  <c r="W142" i="4"/>
  <c r="U108" i="3"/>
  <c r="V108" i="3" s="1"/>
  <c r="W108" i="4"/>
  <c r="U130" i="3"/>
  <c r="W130" i="4"/>
  <c r="U159" i="3"/>
  <c r="W159" i="4"/>
  <c r="U43" i="3"/>
  <c r="W43" i="4"/>
  <c r="U129" i="3"/>
  <c r="V129" i="3" s="1"/>
  <c r="U198" i="3"/>
  <c r="V198" i="3" s="1"/>
  <c r="U21" i="3"/>
  <c r="V21" i="3" s="1"/>
  <c r="V28" i="3"/>
  <c r="U157" i="3"/>
  <c r="V157" i="3" s="1"/>
  <c r="W188" i="4"/>
  <c r="W162" i="4"/>
  <c r="W36" i="4"/>
  <c r="W48" i="4"/>
  <c r="W138" i="4"/>
  <c r="W137" i="4"/>
  <c r="W201" i="4"/>
  <c r="W196" i="4"/>
  <c r="W67" i="4"/>
  <c r="W214" i="4"/>
  <c r="W231" i="4"/>
  <c r="W109" i="4"/>
  <c r="W12" i="4"/>
  <c r="W144" i="4"/>
  <c r="W119" i="4"/>
  <c r="W169" i="4"/>
  <c r="W197" i="4"/>
  <c r="W104" i="4"/>
  <c r="W34" i="4"/>
  <c r="W28" i="4"/>
  <c r="W70" i="4"/>
  <c r="W95" i="4"/>
  <c r="W212" i="4"/>
  <c r="W206" i="4"/>
  <c r="W149" i="4"/>
  <c r="W57" i="4"/>
  <c r="W16" i="4"/>
  <c r="W202" i="4"/>
  <c r="W189" i="4"/>
  <c r="W22" i="4"/>
  <c r="W75" i="4"/>
  <c r="W84" i="4"/>
  <c r="L39" i="3"/>
  <c r="O56" i="3"/>
  <c r="U151" i="3"/>
  <c r="V151" i="3" s="1"/>
  <c r="U182" i="3"/>
  <c r="V182" i="3" s="1"/>
  <c r="O242" i="3"/>
  <c r="U242" i="3" s="1"/>
  <c r="V242" i="3" s="1"/>
  <c r="W225" i="4"/>
  <c r="W164" i="4"/>
  <c r="W54" i="4"/>
  <c r="W102" i="4"/>
  <c r="W30" i="4"/>
  <c r="W195" i="4"/>
  <c r="W209" i="4"/>
  <c r="W203" i="4"/>
  <c r="W190" i="4"/>
  <c r="W154" i="4"/>
  <c r="W232" i="4"/>
  <c r="W19" i="4"/>
  <c r="W207" i="4"/>
  <c r="W185" i="4"/>
  <c r="U92" i="3"/>
  <c r="V92" i="3" s="1"/>
  <c r="U239" i="3"/>
  <c r="V239" i="3" s="1"/>
  <c r="O73" i="3"/>
  <c r="U176" i="3"/>
  <c r="V176" i="3" s="1"/>
  <c r="U210" i="3"/>
  <c r="V210" i="3" s="1"/>
  <c r="U224" i="3"/>
  <c r="V224" i="3" s="1"/>
  <c r="K253" i="3"/>
  <c r="W219" i="4"/>
  <c r="W167" i="4"/>
  <c r="W24" i="4"/>
  <c r="W63" i="4"/>
  <c r="W103" i="4"/>
  <c r="W193" i="4"/>
  <c r="W106" i="4"/>
  <c r="W192" i="4"/>
  <c r="W240" i="4"/>
  <c r="W171" i="4"/>
  <c r="W65" i="4"/>
  <c r="W156" i="4"/>
  <c r="W179" i="4"/>
  <c r="N233" i="3"/>
  <c r="N257" i="3" s="1"/>
  <c r="K256" i="3"/>
  <c r="W132" i="4"/>
  <c r="W204" i="4"/>
  <c r="W186" i="4"/>
  <c r="W223" i="4"/>
  <c r="W64" i="4"/>
  <c r="W215" i="4"/>
  <c r="W160" i="4"/>
  <c r="W199" i="4"/>
  <c r="W146" i="4"/>
  <c r="U165" i="3"/>
  <c r="V165" i="3" s="1"/>
  <c r="O217" i="3"/>
  <c r="W228" i="4"/>
  <c r="W127" i="4"/>
  <c r="W76" i="4"/>
  <c r="W18" i="4"/>
  <c r="W69" i="4"/>
  <c r="W50" i="4"/>
  <c r="W184" i="4"/>
  <c r="W168" i="4"/>
  <c r="W20" i="4"/>
  <c r="W134" i="4"/>
  <c r="W133" i="4"/>
  <c r="W117" i="4"/>
  <c r="W85" i="4"/>
  <c r="W220" i="4"/>
  <c r="U77" i="3"/>
  <c r="V77" i="3" s="1"/>
  <c r="U221" i="3"/>
  <c r="V221" i="3" s="1"/>
  <c r="L216" i="3"/>
  <c r="T216" i="3"/>
  <c r="U236" i="3"/>
  <c r="V236" i="3" s="1"/>
  <c r="W222" i="4"/>
  <c r="W191" i="4"/>
  <c r="W23" i="4"/>
  <c r="W99" i="4"/>
  <c r="W200" i="4"/>
  <c r="W100" i="4"/>
  <c r="W150" i="4"/>
  <c r="W135" i="4"/>
  <c r="W122" i="4"/>
  <c r="W121" i="4"/>
  <c r="W131" i="4"/>
  <c r="U173" i="3"/>
  <c r="V173" i="3" s="1"/>
  <c r="W120" i="4"/>
  <c r="O35" i="3"/>
  <c r="U126" i="3"/>
  <c r="V126" i="3" s="1"/>
  <c r="U178" i="3"/>
  <c r="V178" i="3" s="1"/>
  <c r="W14" i="4"/>
  <c r="W13" i="4"/>
  <c r="W123" i="4"/>
  <c r="W218" i="4"/>
  <c r="W187" i="4"/>
  <c r="W183" i="4"/>
  <c r="W237" i="4"/>
  <c r="W180" i="4"/>
  <c r="W101" i="4"/>
  <c r="W52" i="4"/>
  <c r="W208" i="4"/>
  <c r="W93" i="4"/>
  <c r="O27" i="3"/>
  <c r="W234" i="4"/>
  <c r="W125" i="4"/>
  <c r="W51" i="4"/>
  <c r="W17" i="4"/>
  <c r="W29" i="4"/>
  <c r="W113" i="4"/>
  <c r="W176" i="4"/>
  <c r="W241" i="4"/>
  <c r="W124" i="4"/>
  <c r="W226" i="4"/>
  <c r="W163" i="4"/>
  <c r="W61" i="4"/>
  <c r="W53" i="4"/>
  <c r="W97" i="4"/>
  <c r="W86" i="4"/>
  <c r="G258" i="4"/>
  <c r="U149" i="4"/>
  <c r="V149" i="4" s="1"/>
  <c r="G243" i="4"/>
  <c r="G265" i="4" s="1"/>
  <c r="G263" i="4"/>
  <c r="N39" i="4"/>
  <c r="U39" i="4" s="1"/>
  <c r="V39" i="4" s="1"/>
  <c r="N216" i="4"/>
  <c r="V106" i="4"/>
  <c r="H263" i="4"/>
  <c r="O243" i="4"/>
  <c r="O266" i="4" s="1"/>
  <c r="T263" i="4"/>
  <c r="K264" i="4"/>
  <c r="O263" i="4"/>
  <c r="J243" i="4"/>
  <c r="J265" i="4" s="1"/>
  <c r="Q263" i="4"/>
  <c r="Q264" i="4" s="1"/>
  <c r="P266" i="4"/>
  <c r="W39" i="4"/>
  <c r="W229" i="4"/>
  <c r="U229" i="4"/>
  <c r="V229" i="4" s="1"/>
  <c r="U242" i="4"/>
  <c r="V242" i="4" s="1"/>
  <c r="W139" i="4"/>
  <c r="U139" i="4"/>
  <c r="V139" i="4" s="1"/>
  <c r="H259" i="4"/>
  <c r="H255" i="4"/>
  <c r="H252" i="4"/>
  <c r="U59" i="4"/>
  <c r="V59" i="4" s="1"/>
  <c r="W59" i="4"/>
  <c r="O254" i="4"/>
  <c r="O258" i="4"/>
  <c r="O253" i="4"/>
  <c r="W60" i="4"/>
  <c r="U60" i="4"/>
  <c r="V60" i="4" s="1"/>
  <c r="M79" i="4"/>
  <c r="M263" i="4" s="1"/>
  <c r="W152" i="4"/>
  <c r="U152" i="4"/>
  <c r="V152" i="4" s="1"/>
  <c r="U238" i="4"/>
  <c r="V238" i="4" s="1"/>
  <c r="T243" i="4"/>
  <c r="T266" i="4" s="1"/>
  <c r="W98" i="4"/>
  <c r="U98" i="4"/>
  <c r="V98" i="4" s="1"/>
  <c r="U80" i="4"/>
  <c r="I252" i="4"/>
  <c r="I255" i="4"/>
  <c r="I259" i="4"/>
  <c r="H254" i="4"/>
  <c r="H258" i="4"/>
  <c r="H253" i="4"/>
  <c r="H243" i="4"/>
  <c r="I258" i="4"/>
  <c r="I253" i="4"/>
  <c r="I254" i="4"/>
  <c r="I243" i="4"/>
  <c r="W158" i="4"/>
  <c r="U158" i="4"/>
  <c r="V158" i="4" s="1"/>
  <c r="U90" i="4"/>
  <c r="V90" i="4" s="1"/>
  <c r="G266" i="4"/>
  <c r="I263" i="4"/>
  <c r="W83" i="4"/>
  <c r="U83" i="4"/>
  <c r="V83" i="4" s="1"/>
  <c r="L259" i="4"/>
  <c r="L252" i="4"/>
  <c r="L255" i="4"/>
  <c r="S264" i="4"/>
  <c r="U94" i="4"/>
  <c r="V94" i="4" s="1"/>
  <c r="U42" i="4"/>
  <c r="V42" i="4" s="1"/>
  <c r="O259" i="4"/>
  <c r="O255" i="4"/>
  <c r="O252" i="4"/>
  <c r="U136" i="4"/>
  <c r="V136" i="4" s="1"/>
  <c r="U81" i="4"/>
  <c r="V81" i="4" s="1"/>
  <c r="W81" i="4"/>
  <c r="U45" i="4"/>
  <c r="V45" i="4" s="1"/>
  <c r="W45" i="4"/>
  <c r="P263" i="4"/>
  <c r="P264" i="4" s="1"/>
  <c r="U233" i="4"/>
  <c r="J258" i="4"/>
  <c r="J254" i="4"/>
  <c r="J253" i="4"/>
  <c r="L79" i="4"/>
  <c r="L263" i="4" s="1"/>
  <c r="R263" i="4"/>
  <c r="R264" i="4" s="1"/>
  <c r="U44" i="4"/>
  <c r="V44" i="4" s="1"/>
  <c r="W44" i="4"/>
  <c r="U71" i="4"/>
  <c r="V71" i="4" s="1"/>
  <c r="K261" i="4"/>
  <c r="K266" i="4"/>
  <c r="K265" i="4"/>
  <c r="K251" i="4"/>
  <c r="L79" i="3"/>
  <c r="O37" i="3"/>
  <c r="V43" i="3"/>
  <c r="H216" i="3"/>
  <c r="M216" i="3"/>
  <c r="O94" i="3"/>
  <c r="U94" i="3" s="1"/>
  <c r="V94" i="3" s="1"/>
  <c r="O33" i="3"/>
  <c r="V36" i="3"/>
  <c r="P39" i="3"/>
  <c r="I264" i="3"/>
  <c r="V174" i="3"/>
  <c r="O66" i="3"/>
  <c r="N79" i="3"/>
  <c r="O82" i="3"/>
  <c r="S243" i="3"/>
  <c r="S267" i="3" s="1"/>
  <c r="Q79" i="3"/>
  <c r="Q264" i="3" s="1"/>
  <c r="I256" i="3"/>
  <c r="I253" i="3"/>
  <c r="I260" i="3"/>
  <c r="T243" i="3"/>
  <c r="T267" i="3" s="1"/>
  <c r="O41" i="3"/>
  <c r="M39" i="3"/>
  <c r="R79" i="3"/>
  <c r="R264" i="3" s="1"/>
  <c r="K79" i="3"/>
  <c r="K264" i="3" s="1"/>
  <c r="J260" i="3"/>
  <c r="J256" i="3"/>
  <c r="J253" i="3"/>
  <c r="J79" i="3"/>
  <c r="J264" i="3"/>
  <c r="O59" i="3"/>
  <c r="U59" i="3" s="1"/>
  <c r="V59" i="3" s="1"/>
  <c r="O42" i="3"/>
  <c r="U42" i="3" s="1"/>
  <c r="V42" i="3" s="1"/>
  <c r="T264" i="3"/>
  <c r="T265" i="3" s="1"/>
  <c r="L253" i="3"/>
  <c r="L260" i="3"/>
  <c r="L256" i="3"/>
  <c r="O55" i="3"/>
  <c r="U55" i="3" s="1"/>
  <c r="V55" i="3" s="1"/>
  <c r="O71" i="3"/>
  <c r="U71" i="3" s="1"/>
  <c r="V71" i="3" s="1"/>
  <c r="O25" i="3"/>
  <c r="O12" i="3"/>
  <c r="U12" i="3" s="1"/>
  <c r="V12" i="3" s="1"/>
  <c r="H79" i="3"/>
  <c r="O98" i="3"/>
  <c r="U98" i="3" s="1"/>
  <c r="V98" i="3" s="1"/>
  <c r="V144" i="3"/>
  <c r="V140" i="3"/>
  <c r="O143" i="3"/>
  <c r="O39" i="3"/>
  <c r="G79" i="3"/>
  <c r="S79" i="3"/>
  <c r="S264" i="3" s="1"/>
  <c r="S265" i="3" s="1"/>
  <c r="O80" i="3"/>
  <c r="U80" i="3" s="1"/>
  <c r="V81" i="3"/>
  <c r="O90" i="3"/>
  <c r="U90" i="3" s="1"/>
  <c r="V90" i="3" s="1"/>
  <c r="O136" i="3"/>
  <c r="U136" i="3" s="1"/>
  <c r="V136" i="3" s="1"/>
  <c r="V152" i="3"/>
  <c r="V231" i="3"/>
  <c r="I255" i="3"/>
  <c r="V149" i="3"/>
  <c r="I259" i="3"/>
  <c r="I254" i="3"/>
  <c r="O110" i="3"/>
  <c r="O128" i="3"/>
  <c r="V130" i="3"/>
  <c r="O149" i="3"/>
  <c r="U149" i="3" s="1"/>
  <c r="V159" i="3"/>
  <c r="U170" i="3"/>
  <c r="V170" i="3" s="1"/>
  <c r="U172" i="3"/>
  <c r="V172" i="3" s="1"/>
  <c r="U174" i="3"/>
  <c r="U177" i="3"/>
  <c r="V177" i="3" s="1"/>
  <c r="V229" i="3"/>
  <c r="O141" i="3"/>
  <c r="K243" i="3"/>
  <c r="V139" i="3"/>
  <c r="N216" i="3"/>
  <c r="G257" i="3"/>
  <c r="G260" i="3"/>
  <c r="O229" i="3"/>
  <c r="U229" i="3" s="1"/>
  <c r="O238" i="3"/>
  <c r="U238" i="3" s="1"/>
  <c r="V238" i="3" s="1"/>
  <c r="I243" i="3"/>
  <c r="G256" i="3"/>
  <c r="W245" i="5" l="1"/>
  <c r="U245" i="5"/>
  <c r="U266" i="5" s="1"/>
  <c r="U260" i="5"/>
  <c r="U255" i="5"/>
  <c r="U256" i="5"/>
  <c r="V80" i="5"/>
  <c r="V246" i="5" s="1"/>
  <c r="K265" i="3"/>
  <c r="N79" i="4"/>
  <c r="O233" i="3"/>
  <c r="U56" i="3"/>
  <c r="V56" i="3" s="1"/>
  <c r="W56" i="4"/>
  <c r="U35" i="3"/>
  <c r="V35" i="3" s="1"/>
  <c r="W35" i="4"/>
  <c r="W136" i="4"/>
  <c r="U82" i="3"/>
  <c r="V82" i="3" s="1"/>
  <c r="W82" i="4"/>
  <c r="U143" i="3"/>
  <c r="V143" i="3" s="1"/>
  <c r="W143" i="4"/>
  <c r="U66" i="3"/>
  <c r="V66" i="3" s="1"/>
  <c r="W66" i="4"/>
  <c r="U37" i="3"/>
  <c r="V37" i="3" s="1"/>
  <c r="W37" i="4"/>
  <c r="W238" i="4"/>
  <c r="U128" i="3"/>
  <c r="V128" i="3" s="1"/>
  <c r="W128" i="4"/>
  <c r="U41" i="3"/>
  <c r="V41" i="3" s="1"/>
  <c r="W41" i="4"/>
  <c r="I265" i="3"/>
  <c r="U73" i="3"/>
  <c r="V73" i="3" s="1"/>
  <c r="W73" i="4"/>
  <c r="U110" i="3"/>
  <c r="V110" i="3" s="1"/>
  <c r="W110" i="4"/>
  <c r="W42" i="4"/>
  <c r="W90" i="4"/>
  <c r="W242" i="4"/>
  <c r="U25" i="3"/>
  <c r="V25" i="3" s="1"/>
  <c r="W25" i="4"/>
  <c r="U141" i="3"/>
  <c r="V141" i="3" s="1"/>
  <c r="W141" i="4"/>
  <c r="H264" i="3"/>
  <c r="U33" i="3"/>
  <c r="V33" i="3" s="1"/>
  <c r="W33" i="4"/>
  <c r="W71" i="4"/>
  <c r="W94" i="4"/>
  <c r="W80" i="4"/>
  <c r="U27" i="3"/>
  <c r="V27" i="3" s="1"/>
  <c r="W27" i="4"/>
  <c r="U217" i="3"/>
  <c r="V217" i="3" s="1"/>
  <c r="W217" i="4"/>
  <c r="W55" i="4"/>
  <c r="G261" i="4"/>
  <c r="G251" i="4"/>
  <c r="G264" i="4"/>
  <c r="U216" i="4"/>
  <c r="O261" i="4"/>
  <c r="O265" i="4"/>
  <c r="J261" i="4"/>
  <c r="H264" i="4"/>
  <c r="O251" i="4"/>
  <c r="O264" i="4"/>
  <c r="I264" i="4"/>
  <c r="J264" i="4"/>
  <c r="J266" i="4"/>
  <c r="J251" i="4"/>
  <c r="T264" i="4"/>
  <c r="I265" i="4"/>
  <c r="I261" i="4"/>
  <c r="I266" i="4"/>
  <c r="I251" i="4"/>
  <c r="V80" i="4"/>
  <c r="N243" i="4"/>
  <c r="U256" i="4"/>
  <c r="V233" i="4"/>
  <c r="U79" i="4"/>
  <c r="L254" i="4"/>
  <c r="L258" i="4"/>
  <c r="L253" i="4"/>
  <c r="L243" i="4"/>
  <c r="L264" i="4" s="1"/>
  <c r="H266" i="4"/>
  <c r="H265" i="4"/>
  <c r="H261" i="4"/>
  <c r="H251" i="4"/>
  <c r="M258" i="4"/>
  <c r="M254" i="4"/>
  <c r="M253" i="4"/>
  <c r="M243" i="4"/>
  <c r="M264" i="4" s="1"/>
  <c r="V251" i="4"/>
  <c r="U39" i="3"/>
  <c r="V39" i="3" s="1"/>
  <c r="L255" i="3"/>
  <c r="L259" i="3"/>
  <c r="L254" i="3"/>
  <c r="V80" i="3"/>
  <c r="I267" i="3"/>
  <c r="I262" i="3"/>
  <c r="I252" i="3"/>
  <c r="I266" i="3"/>
  <c r="Q243" i="3"/>
  <c r="Q267" i="3" s="1"/>
  <c r="J243" i="3"/>
  <c r="J255" i="3"/>
  <c r="J259" i="3"/>
  <c r="J254" i="3"/>
  <c r="M253" i="3"/>
  <c r="M260" i="3"/>
  <c r="M256" i="3"/>
  <c r="N256" i="3"/>
  <c r="N260" i="3"/>
  <c r="N253" i="3"/>
  <c r="G259" i="3"/>
  <c r="G254" i="3"/>
  <c r="G255" i="3"/>
  <c r="G243" i="3"/>
  <c r="R243" i="3"/>
  <c r="R267" i="3" s="1"/>
  <c r="H256" i="3"/>
  <c r="H260" i="3"/>
  <c r="H253" i="3"/>
  <c r="K266" i="3"/>
  <c r="K267" i="3"/>
  <c r="K252" i="3"/>
  <c r="K262" i="3"/>
  <c r="N264" i="3"/>
  <c r="N265" i="3" s="1"/>
  <c r="N259" i="3"/>
  <c r="N254" i="3"/>
  <c r="N255" i="3"/>
  <c r="N243" i="3"/>
  <c r="H259" i="3"/>
  <c r="H254" i="3"/>
  <c r="H255" i="3"/>
  <c r="H243" i="3"/>
  <c r="O216" i="3"/>
  <c r="W216" i="4" s="1"/>
  <c r="M79" i="3"/>
  <c r="O79" i="3" s="1"/>
  <c r="O264" i="3" s="1"/>
  <c r="G264" i="3"/>
  <c r="J265" i="3"/>
  <c r="K255" i="3"/>
  <c r="K259" i="3"/>
  <c r="K254" i="3"/>
  <c r="L243" i="3"/>
  <c r="P79" i="3"/>
  <c r="P243" i="3" s="1"/>
  <c r="L264" i="3"/>
  <c r="L265" i="3" s="1"/>
  <c r="U268" i="5" l="1"/>
  <c r="U253" i="5"/>
  <c r="V254" i="5"/>
  <c r="V245" i="5"/>
  <c r="U216" i="3"/>
  <c r="V216" i="3" s="1"/>
  <c r="M264" i="3"/>
  <c r="M265" i="3" s="1"/>
  <c r="P264" i="3"/>
  <c r="P265" i="3" s="1"/>
  <c r="U233" i="3"/>
  <c r="W233" i="4"/>
  <c r="W79" i="4"/>
  <c r="R265" i="3"/>
  <c r="U243" i="4"/>
  <c r="U258" i="4"/>
  <c r="U253" i="4"/>
  <c r="U254" i="4"/>
  <c r="V79" i="4"/>
  <c r="U263" i="4"/>
  <c r="L266" i="4"/>
  <c r="L265" i="4"/>
  <c r="L261" i="4"/>
  <c r="L251" i="4"/>
  <c r="U261" i="4"/>
  <c r="M251" i="4"/>
  <c r="M266" i="4"/>
  <c r="M265" i="4"/>
  <c r="M261" i="4"/>
  <c r="U252" i="4"/>
  <c r="U255" i="4"/>
  <c r="U259" i="4"/>
  <c r="V216" i="4"/>
  <c r="G267" i="3"/>
  <c r="G252" i="3"/>
  <c r="G266" i="3"/>
  <c r="G262" i="3"/>
  <c r="V252" i="3"/>
  <c r="P267" i="3"/>
  <c r="L266" i="3"/>
  <c r="L267" i="3"/>
  <c r="L262" i="3"/>
  <c r="L252" i="3"/>
  <c r="M259" i="3"/>
  <c r="M254" i="3"/>
  <c r="M255" i="3"/>
  <c r="M243" i="3"/>
  <c r="U262" i="3" s="1"/>
  <c r="U256" i="3"/>
  <c r="U260" i="3"/>
  <c r="U253" i="3"/>
  <c r="Q265" i="3"/>
  <c r="G265" i="3"/>
  <c r="J252" i="3"/>
  <c r="J266" i="3"/>
  <c r="J267" i="3"/>
  <c r="J262" i="3"/>
  <c r="N267" i="3"/>
  <c r="N262" i="3"/>
  <c r="N266" i="3"/>
  <c r="N252" i="3"/>
  <c r="H267" i="3"/>
  <c r="H262" i="3"/>
  <c r="H266" i="3"/>
  <c r="H252" i="3"/>
  <c r="U79" i="3"/>
  <c r="H265" i="3"/>
  <c r="U257" i="3" l="1"/>
  <c r="V233" i="3"/>
  <c r="U264" i="4"/>
  <c r="U266" i="4"/>
  <c r="V252" i="4"/>
  <c r="U251" i="4"/>
  <c r="V243" i="4"/>
  <c r="V244" i="4"/>
  <c r="U259" i="3"/>
  <c r="U254" i="3"/>
  <c r="U255" i="3"/>
  <c r="V79" i="3"/>
  <c r="U264" i="3"/>
  <c r="M267" i="3"/>
  <c r="M262" i="3"/>
  <c r="M266" i="3"/>
  <c r="M252" i="3"/>
  <c r="O243" i="3"/>
  <c r="W243" i="4" s="1"/>
  <c r="O266" i="3" l="1"/>
  <c r="U243" i="3"/>
  <c r="O265" i="3"/>
  <c r="U267" i="3" l="1"/>
  <c r="V253" i="3"/>
  <c r="U252" i="3"/>
  <c r="V243" i="3"/>
  <c r="V245" i="3" s="1"/>
  <c r="W243" i="3"/>
  <c r="U265" i="3"/>
  <c r="N241" i="1" l="1"/>
  <c r="W241" i="1" s="1"/>
  <c r="N240" i="1"/>
  <c r="W240" i="1" s="1"/>
  <c r="N239" i="1"/>
  <c r="W239" i="1" s="1"/>
  <c r="U234" i="1"/>
  <c r="N237" i="1"/>
  <c r="N236" i="1"/>
  <c r="N235" i="1"/>
  <c r="N234" i="1"/>
  <c r="W234" i="1" s="1"/>
  <c r="U226" i="1"/>
  <c r="U225" i="1"/>
  <c r="N232" i="1"/>
  <c r="W232" i="1" s="1"/>
  <c r="N231" i="1"/>
  <c r="N230" i="1"/>
  <c r="N228" i="1"/>
  <c r="N227" i="1"/>
  <c r="W227" i="1" s="1"/>
  <c r="N226" i="1"/>
  <c r="W226" i="1" s="1"/>
  <c r="N225" i="1"/>
  <c r="W225" i="1" s="1"/>
  <c r="N224" i="1"/>
  <c r="N223" i="1"/>
  <c r="N222" i="1"/>
  <c r="N221" i="1"/>
  <c r="W221" i="1" s="1"/>
  <c r="N220" i="1"/>
  <c r="W220" i="1" s="1"/>
  <c r="N219" i="1"/>
  <c r="W219" i="1" s="1"/>
  <c r="N218" i="1"/>
  <c r="W218" i="1" s="1"/>
  <c r="N217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W178" i="1" s="1"/>
  <c r="N177" i="1"/>
  <c r="W177" i="1" s="1"/>
  <c r="N176" i="1"/>
  <c r="W176" i="1" s="1"/>
  <c r="N175" i="1"/>
  <c r="N174" i="1"/>
  <c r="W174" i="1" s="1"/>
  <c r="N173" i="1"/>
  <c r="W173" i="1" s="1"/>
  <c r="N172" i="1"/>
  <c r="W172" i="1" s="1"/>
  <c r="N171" i="1"/>
  <c r="N170" i="1"/>
  <c r="W170" i="1" s="1"/>
  <c r="N169" i="1"/>
  <c r="N168" i="1"/>
  <c r="N167" i="1"/>
  <c r="N166" i="1"/>
  <c r="N165" i="1"/>
  <c r="N164" i="1"/>
  <c r="N163" i="1"/>
  <c r="N162" i="1"/>
  <c r="N161" i="1"/>
  <c r="N160" i="1"/>
  <c r="N157" i="1"/>
  <c r="N155" i="1"/>
  <c r="N154" i="1"/>
  <c r="N153" i="1"/>
  <c r="N151" i="1"/>
  <c r="N148" i="1"/>
  <c r="N146" i="1"/>
  <c r="N145" i="1"/>
  <c r="N138" i="1"/>
  <c r="N137" i="1"/>
  <c r="N135" i="1"/>
  <c r="N134" i="1"/>
  <c r="N133" i="1"/>
  <c r="N132" i="1"/>
  <c r="N131" i="1"/>
  <c r="N129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7" i="1"/>
  <c r="N105" i="1"/>
  <c r="N103" i="1"/>
  <c r="N102" i="1"/>
  <c r="N101" i="1"/>
  <c r="N100" i="1"/>
  <c r="N99" i="1"/>
  <c r="N97" i="1"/>
  <c r="N96" i="1"/>
  <c r="N95" i="1"/>
  <c r="N93" i="1"/>
  <c r="N92" i="1"/>
  <c r="N91" i="1"/>
  <c r="N89" i="1"/>
  <c r="N88" i="1"/>
  <c r="N87" i="1"/>
  <c r="N86" i="1"/>
  <c r="N85" i="1"/>
  <c r="N84" i="1"/>
  <c r="U23" i="1"/>
  <c r="N78" i="1"/>
  <c r="W78" i="1" s="1"/>
  <c r="N77" i="1"/>
  <c r="N76" i="1"/>
  <c r="N75" i="1"/>
  <c r="N74" i="1"/>
  <c r="N72" i="1"/>
  <c r="W72" i="1" s="1"/>
  <c r="N70" i="1"/>
  <c r="N68" i="1"/>
  <c r="N67" i="1"/>
  <c r="N65" i="1"/>
  <c r="N64" i="1"/>
  <c r="N63" i="1"/>
  <c r="N61" i="1"/>
  <c r="N58" i="1"/>
  <c r="N54" i="1"/>
  <c r="W54" i="1" s="1"/>
  <c r="N53" i="1"/>
  <c r="N52" i="1"/>
  <c r="N51" i="1"/>
  <c r="N50" i="1"/>
  <c r="N49" i="1"/>
  <c r="N48" i="1"/>
  <c r="W48" i="1" s="1"/>
  <c r="N47" i="1"/>
  <c r="N46" i="1"/>
  <c r="N38" i="1"/>
  <c r="N34" i="1"/>
  <c r="N33" i="1"/>
  <c r="N31" i="1"/>
  <c r="N30" i="1"/>
  <c r="N29" i="1"/>
  <c r="W29" i="1" s="1"/>
  <c r="N24" i="1"/>
  <c r="N23" i="1"/>
  <c r="W23" i="1" s="1"/>
  <c r="N22" i="1"/>
  <c r="N21" i="1"/>
  <c r="N20" i="1"/>
  <c r="N19" i="1"/>
  <c r="N18" i="1"/>
  <c r="N17" i="1"/>
  <c r="W17" i="1" s="1"/>
  <c r="N16" i="1"/>
  <c r="N15" i="1"/>
  <c r="N14" i="1"/>
  <c r="N13" i="1"/>
  <c r="U190" i="1" l="1"/>
  <c r="W190" i="1"/>
  <c r="U30" i="1"/>
  <c r="W30" i="1"/>
  <c r="U203" i="1"/>
  <c r="W203" i="1"/>
  <c r="U76" i="1"/>
  <c r="W76" i="1"/>
  <c r="U129" i="1"/>
  <c r="V129" i="1" s="1"/>
  <c r="W129" i="1"/>
  <c r="W33" i="1"/>
  <c r="U102" i="1"/>
  <c r="W102" i="1"/>
  <c r="U117" i="1"/>
  <c r="W117" i="1"/>
  <c r="U131" i="1"/>
  <c r="W131" i="1"/>
  <c r="U154" i="1"/>
  <c r="W154" i="1"/>
  <c r="U169" i="1"/>
  <c r="W169" i="1"/>
  <c r="U181" i="1"/>
  <c r="V181" i="1" s="1"/>
  <c r="W181" i="1"/>
  <c r="U193" i="1"/>
  <c r="W193" i="1"/>
  <c r="U205" i="1"/>
  <c r="W205" i="1"/>
  <c r="U52" i="1"/>
  <c r="W52" i="1"/>
  <c r="U167" i="1"/>
  <c r="W167" i="1"/>
  <c r="U15" i="1"/>
  <c r="W15" i="1"/>
  <c r="U192" i="1"/>
  <c r="V192" i="1" s="1"/>
  <c r="W192" i="1"/>
  <c r="U61" i="1"/>
  <c r="W61" i="1"/>
  <c r="U155" i="1"/>
  <c r="W155" i="1"/>
  <c r="U182" i="1"/>
  <c r="W182" i="1"/>
  <c r="U194" i="1"/>
  <c r="W194" i="1"/>
  <c r="U206" i="1"/>
  <c r="W206" i="1"/>
  <c r="U114" i="1"/>
  <c r="V114" i="1" s="1"/>
  <c r="W114" i="1"/>
  <c r="U214" i="1"/>
  <c r="W214" i="1"/>
  <c r="U53" i="1"/>
  <c r="W53" i="1"/>
  <c r="U151" i="1"/>
  <c r="W151" i="1"/>
  <c r="U31" i="1"/>
  <c r="W31" i="1"/>
  <c r="U230" i="1"/>
  <c r="V230" i="1" s="1"/>
  <c r="W230" i="1"/>
  <c r="U38" i="1"/>
  <c r="V38" i="1" s="1"/>
  <c r="W38" i="1"/>
  <c r="U89" i="1"/>
  <c r="W89" i="1"/>
  <c r="U105" i="1"/>
  <c r="W105" i="1"/>
  <c r="U119" i="1"/>
  <c r="W119" i="1"/>
  <c r="U133" i="1"/>
  <c r="W133" i="1"/>
  <c r="U157" i="1"/>
  <c r="W157" i="1"/>
  <c r="U171" i="1"/>
  <c r="V171" i="1" s="1"/>
  <c r="W171" i="1"/>
  <c r="U183" i="1"/>
  <c r="W183" i="1"/>
  <c r="U195" i="1"/>
  <c r="W195" i="1"/>
  <c r="U207" i="1"/>
  <c r="W207" i="1"/>
  <c r="U220" i="1"/>
  <c r="U74" i="1"/>
  <c r="W74" i="1"/>
  <c r="U166" i="1"/>
  <c r="V166" i="1" s="1"/>
  <c r="W166" i="1"/>
  <c r="U235" i="1"/>
  <c r="W235" i="1"/>
  <c r="U127" i="1"/>
  <c r="W127" i="1"/>
  <c r="U180" i="1"/>
  <c r="W180" i="1"/>
  <c r="U58" i="1"/>
  <c r="W58" i="1"/>
  <c r="U103" i="1"/>
  <c r="W103" i="1"/>
  <c r="U46" i="1"/>
  <c r="V46" i="1" s="1"/>
  <c r="W46" i="1"/>
  <c r="U91" i="1"/>
  <c r="W91" i="1"/>
  <c r="U107" i="1"/>
  <c r="W107" i="1"/>
  <c r="U120" i="1"/>
  <c r="W120" i="1"/>
  <c r="U134" i="1"/>
  <c r="W134" i="1"/>
  <c r="U160" i="1"/>
  <c r="W160" i="1"/>
  <c r="U184" i="1"/>
  <c r="V184" i="1" s="1"/>
  <c r="W184" i="1"/>
  <c r="U196" i="1"/>
  <c r="W196" i="1"/>
  <c r="U208" i="1"/>
  <c r="W208" i="1"/>
  <c r="U221" i="1"/>
  <c r="U148" i="1"/>
  <c r="W148" i="1"/>
  <c r="U100" i="1"/>
  <c r="W100" i="1"/>
  <c r="U228" i="1"/>
  <c r="V228" i="1" s="1"/>
  <c r="W228" i="1"/>
  <c r="U168" i="1"/>
  <c r="V168" i="1" s="1"/>
  <c r="W168" i="1"/>
  <c r="U77" i="1"/>
  <c r="W77" i="1"/>
  <c r="U34" i="1"/>
  <c r="W34" i="1"/>
  <c r="U18" i="1"/>
  <c r="W18" i="1"/>
  <c r="U47" i="1"/>
  <c r="W47" i="1"/>
  <c r="U65" i="1"/>
  <c r="V65" i="1" s="1"/>
  <c r="W65" i="1"/>
  <c r="U29" i="1"/>
  <c r="V29" i="1" s="1"/>
  <c r="U92" i="1"/>
  <c r="W92" i="1"/>
  <c r="U109" i="1"/>
  <c r="W109" i="1"/>
  <c r="U121" i="1"/>
  <c r="W121" i="1"/>
  <c r="U135" i="1"/>
  <c r="W135" i="1"/>
  <c r="U161" i="1"/>
  <c r="W161" i="1"/>
  <c r="U185" i="1"/>
  <c r="V185" i="1" s="1"/>
  <c r="W185" i="1"/>
  <c r="U197" i="1"/>
  <c r="W197" i="1"/>
  <c r="U209" i="1"/>
  <c r="W209" i="1"/>
  <c r="U222" i="1"/>
  <c r="W222" i="1"/>
  <c r="U239" i="1"/>
  <c r="U84" i="1"/>
  <c r="W84" i="1"/>
  <c r="U202" i="1"/>
  <c r="V202" i="1" s="1"/>
  <c r="W202" i="1"/>
  <c r="U85" i="1"/>
  <c r="W85" i="1"/>
  <c r="U179" i="1"/>
  <c r="W179" i="1"/>
  <c r="U88" i="1"/>
  <c r="W88" i="1"/>
  <c r="U17" i="1"/>
  <c r="U48" i="1"/>
  <c r="U122" i="1"/>
  <c r="V122" i="1" s="1"/>
  <c r="W122" i="1"/>
  <c r="U137" i="1"/>
  <c r="V137" i="1" s="1"/>
  <c r="W137" i="1"/>
  <c r="U162" i="1"/>
  <c r="W162" i="1"/>
  <c r="U186" i="1"/>
  <c r="W186" i="1"/>
  <c r="U198" i="1"/>
  <c r="W198" i="1"/>
  <c r="U210" i="1"/>
  <c r="W210" i="1"/>
  <c r="U223" i="1"/>
  <c r="W223" i="1"/>
  <c r="U241" i="1"/>
  <c r="U99" i="1"/>
  <c r="W99" i="1"/>
  <c r="U191" i="1"/>
  <c r="W191" i="1"/>
  <c r="U86" i="1"/>
  <c r="W86" i="1"/>
  <c r="N238" i="1"/>
  <c r="W237" i="1"/>
  <c r="U118" i="1"/>
  <c r="W118" i="1"/>
  <c r="U19" i="1"/>
  <c r="V19" i="1" s="1"/>
  <c r="W19" i="1"/>
  <c r="U21" i="1"/>
  <c r="W21" i="1"/>
  <c r="U93" i="1"/>
  <c r="W93" i="1"/>
  <c r="U22" i="1"/>
  <c r="W22" i="1"/>
  <c r="U49" i="1"/>
  <c r="W49" i="1"/>
  <c r="U68" i="1"/>
  <c r="V68" i="1" s="1"/>
  <c r="W68" i="1"/>
  <c r="U54" i="1"/>
  <c r="U95" i="1"/>
  <c r="W95" i="1"/>
  <c r="U111" i="1"/>
  <c r="W111" i="1"/>
  <c r="U123" i="1"/>
  <c r="W123" i="1"/>
  <c r="U138" i="1"/>
  <c r="W138" i="1"/>
  <c r="U163" i="1"/>
  <c r="V163" i="1" s="1"/>
  <c r="W163" i="1"/>
  <c r="U175" i="1"/>
  <c r="V175" i="1" s="1"/>
  <c r="W175" i="1"/>
  <c r="U187" i="1"/>
  <c r="W187" i="1"/>
  <c r="U199" i="1"/>
  <c r="W199" i="1"/>
  <c r="U211" i="1"/>
  <c r="W211" i="1"/>
  <c r="U224" i="1"/>
  <c r="W224" i="1"/>
  <c r="U227" i="1"/>
  <c r="V227" i="1" s="1"/>
  <c r="U240" i="1"/>
  <c r="V240" i="1" s="1"/>
  <c r="U126" i="1"/>
  <c r="V126" i="1" s="1"/>
  <c r="W126" i="1"/>
  <c r="U215" i="1"/>
  <c r="W215" i="1"/>
  <c r="U101" i="1"/>
  <c r="W101" i="1"/>
  <c r="U204" i="1"/>
  <c r="W204" i="1"/>
  <c r="U87" i="1"/>
  <c r="W87" i="1"/>
  <c r="U132" i="1"/>
  <c r="W132" i="1"/>
  <c r="U64" i="1"/>
  <c r="W64" i="1"/>
  <c r="U50" i="1"/>
  <c r="W50" i="1"/>
  <c r="U70" i="1"/>
  <c r="W70" i="1"/>
  <c r="U72" i="1"/>
  <c r="U96" i="1"/>
  <c r="W96" i="1"/>
  <c r="U112" i="1"/>
  <c r="V112" i="1" s="1"/>
  <c r="W112" i="1"/>
  <c r="U124" i="1"/>
  <c r="V124" i="1" s="1"/>
  <c r="W124" i="1"/>
  <c r="U164" i="1"/>
  <c r="W164" i="1"/>
  <c r="U188" i="1"/>
  <c r="W188" i="1"/>
  <c r="U200" i="1"/>
  <c r="W200" i="1"/>
  <c r="U212" i="1"/>
  <c r="W212" i="1"/>
  <c r="U232" i="1"/>
  <c r="V232" i="1" s="1"/>
  <c r="U115" i="1"/>
  <c r="V115" i="1" s="1"/>
  <c r="W115" i="1"/>
  <c r="U236" i="1"/>
  <c r="W236" i="1"/>
  <c r="U116" i="1"/>
  <c r="W116" i="1"/>
  <c r="U153" i="1"/>
  <c r="W153" i="1"/>
  <c r="U16" i="1"/>
  <c r="W16" i="1"/>
  <c r="U63" i="1"/>
  <c r="W63" i="1"/>
  <c r="U20" i="1"/>
  <c r="W20" i="1"/>
  <c r="U24" i="1"/>
  <c r="W24" i="1"/>
  <c r="U51" i="1"/>
  <c r="W51" i="1"/>
  <c r="U78" i="1"/>
  <c r="U97" i="1"/>
  <c r="W97" i="1"/>
  <c r="U113" i="1"/>
  <c r="W113" i="1"/>
  <c r="U125" i="1"/>
  <c r="W125" i="1"/>
  <c r="U146" i="1"/>
  <c r="W146" i="1"/>
  <c r="U165" i="1"/>
  <c r="W165" i="1"/>
  <c r="U189" i="1"/>
  <c r="W189" i="1"/>
  <c r="U201" i="1"/>
  <c r="W201" i="1"/>
  <c r="U213" i="1"/>
  <c r="W213" i="1"/>
  <c r="U178" i="1"/>
  <c r="U14" i="1"/>
  <c r="U237" i="1"/>
  <c r="N253" i="2"/>
  <c r="M253" i="2"/>
  <c r="L253" i="2"/>
  <c r="K253" i="2"/>
  <c r="J253" i="2"/>
  <c r="I253" i="2"/>
  <c r="H253" i="2"/>
  <c r="G253" i="2"/>
  <c r="O252" i="2"/>
  <c r="O248" i="2"/>
  <c r="N247" i="2"/>
  <c r="M247" i="2"/>
  <c r="L247" i="2"/>
  <c r="K247" i="2"/>
  <c r="J247" i="2"/>
  <c r="I247" i="2"/>
  <c r="H247" i="2"/>
  <c r="G247" i="2"/>
  <c r="O246" i="2"/>
  <c r="O245" i="2"/>
  <c r="O244" i="2"/>
  <c r="O243" i="2"/>
  <c r="K242" i="2"/>
  <c r="K268" i="2" s="1"/>
  <c r="J242" i="2"/>
  <c r="J268" i="2" s="1"/>
  <c r="I242" i="2"/>
  <c r="I268" i="2" s="1"/>
  <c r="H242" i="2"/>
  <c r="H268" i="2" s="1"/>
  <c r="G242" i="2"/>
  <c r="G268" i="2" s="1"/>
  <c r="O241" i="2"/>
  <c r="N240" i="2"/>
  <c r="O240" i="2" s="1"/>
  <c r="O239" i="2"/>
  <c r="N238" i="2"/>
  <c r="M238" i="2"/>
  <c r="M242" i="2" s="1"/>
  <c r="M268" i="2" s="1"/>
  <c r="L238" i="2"/>
  <c r="L242" i="2" s="1"/>
  <c r="L268" i="2" s="1"/>
  <c r="O234" i="2"/>
  <c r="O233" i="2"/>
  <c r="O232" i="2"/>
  <c r="O231" i="2"/>
  <c r="O230" i="2"/>
  <c r="O229" i="2"/>
  <c r="O228" i="2"/>
  <c r="O227" i="2"/>
  <c r="O226" i="2"/>
  <c r="O225" i="2"/>
  <c r="O224" i="2"/>
  <c r="N223" i="2"/>
  <c r="O223" i="2" s="1"/>
  <c r="K219" i="2"/>
  <c r="K267" i="2" s="1"/>
  <c r="G219" i="2"/>
  <c r="G267" i="2" s="1"/>
  <c r="O218" i="2"/>
  <c r="O217" i="2"/>
  <c r="O216" i="2"/>
  <c r="O215" i="2"/>
  <c r="O214" i="2"/>
  <c r="O213" i="2"/>
  <c r="O212" i="2"/>
  <c r="O211" i="2"/>
  <c r="O210" i="2"/>
  <c r="O209" i="2"/>
  <c r="L208" i="2"/>
  <c r="O208" i="2" s="1"/>
  <c r="L207" i="2"/>
  <c r="O207" i="2" s="1"/>
  <c r="O206" i="2"/>
  <c r="M205" i="2"/>
  <c r="O205" i="2" s="1"/>
  <c r="O204" i="2"/>
  <c r="O200" i="2"/>
  <c r="O199" i="2"/>
  <c r="O198" i="2"/>
  <c r="M198" i="2"/>
  <c r="O197" i="2"/>
  <c r="O196" i="2"/>
  <c r="O195" i="2"/>
  <c r="O194" i="2"/>
  <c r="O193" i="2"/>
  <c r="O192" i="2"/>
  <c r="O191" i="2"/>
  <c r="O190" i="2"/>
  <c r="O189" i="2"/>
  <c r="M188" i="2"/>
  <c r="O188" i="2" s="1"/>
  <c r="L188" i="2"/>
  <c r="M187" i="2"/>
  <c r="O187" i="2" s="1"/>
  <c r="O186" i="2"/>
  <c r="N185" i="2"/>
  <c r="M185" i="2"/>
  <c r="O185" i="2" s="1"/>
  <c r="O184" i="2"/>
  <c r="N183" i="2"/>
  <c r="O183" i="2" s="1"/>
  <c r="M179" i="2"/>
  <c r="O179" i="2" s="1"/>
  <c r="L178" i="2"/>
  <c r="O178" i="2" s="1"/>
  <c r="M177" i="2"/>
  <c r="O177" i="2" s="1"/>
  <c r="N176" i="2"/>
  <c r="M176" i="2"/>
  <c r="L176" i="2"/>
  <c r="O176" i="2" s="1"/>
  <c r="N175" i="2"/>
  <c r="M175" i="2"/>
  <c r="O175" i="2" s="1"/>
  <c r="M174" i="2"/>
  <c r="O174" i="2" s="1"/>
  <c r="O173" i="2"/>
  <c r="O172" i="2"/>
  <c r="M171" i="2"/>
  <c r="L171" i="2"/>
  <c r="O170" i="2"/>
  <c r="O169" i="2"/>
  <c r="O165" i="2"/>
  <c r="O164" i="2"/>
  <c r="O163" i="2"/>
  <c r="O162" i="2"/>
  <c r="M161" i="2"/>
  <c r="O161" i="2" s="1"/>
  <c r="O160" i="2"/>
  <c r="M159" i="2"/>
  <c r="O159" i="2" s="1"/>
  <c r="O158" i="2"/>
  <c r="O157" i="2"/>
  <c r="O153" i="2"/>
  <c r="O152" i="2"/>
  <c r="O151" i="2"/>
  <c r="O150" i="2"/>
  <c r="O149" i="2"/>
  <c r="O148" i="2"/>
  <c r="O147" i="2"/>
  <c r="O146" i="2"/>
  <c r="O145" i="2"/>
  <c r="O144" i="2"/>
  <c r="O140" i="2"/>
  <c r="O139" i="2"/>
  <c r="O138" i="2"/>
  <c r="O137" i="2"/>
  <c r="O136" i="2"/>
  <c r="N135" i="2"/>
  <c r="O134" i="2"/>
  <c r="O133" i="2"/>
  <c r="M132" i="2"/>
  <c r="O132" i="2" s="1"/>
  <c r="O131" i="2"/>
  <c r="M130" i="2"/>
  <c r="O130" i="2" s="1"/>
  <c r="O126" i="2"/>
  <c r="L125" i="2"/>
  <c r="O125" i="2" s="1"/>
  <c r="O124" i="2"/>
  <c r="O123" i="2"/>
  <c r="O122" i="2"/>
  <c r="O121" i="2"/>
  <c r="O120" i="2"/>
  <c r="M119" i="2"/>
  <c r="L119" i="2"/>
  <c r="O119" i="2" s="1"/>
  <c r="O118" i="2"/>
  <c r="O114" i="2"/>
  <c r="O113" i="2"/>
  <c r="M112" i="2"/>
  <c r="L112" i="2"/>
  <c r="O111" i="2"/>
  <c r="O110" i="2"/>
  <c r="O109" i="2"/>
  <c r="J108" i="2"/>
  <c r="J219" i="2" s="1"/>
  <c r="I108" i="2"/>
  <c r="I219" i="2" s="1"/>
  <c r="H108" i="2"/>
  <c r="O108" i="2" s="1"/>
  <c r="O107" i="2"/>
  <c r="O106" i="2"/>
  <c r="O102" i="2"/>
  <c r="O101" i="2"/>
  <c r="O100" i="2"/>
  <c r="O99" i="2"/>
  <c r="L98" i="2"/>
  <c r="O98" i="2" s="1"/>
  <c r="H97" i="2"/>
  <c r="O97" i="2" s="1"/>
  <c r="O96" i="2"/>
  <c r="L96" i="2"/>
  <c r="L95" i="2"/>
  <c r="H95" i="2"/>
  <c r="O95" i="2" s="1"/>
  <c r="N90" i="2"/>
  <c r="O90" i="2" s="1"/>
  <c r="O89" i="2"/>
  <c r="N88" i="2"/>
  <c r="M88" i="2"/>
  <c r="O88" i="2" s="1"/>
  <c r="O87" i="2"/>
  <c r="M86" i="2"/>
  <c r="L86" i="2"/>
  <c r="O85" i="2"/>
  <c r="O84" i="2"/>
  <c r="O83" i="2"/>
  <c r="L83" i="2"/>
  <c r="O82" i="2"/>
  <c r="O81" i="2"/>
  <c r="N81" i="2"/>
  <c r="L80" i="2"/>
  <c r="O80" i="2" s="1"/>
  <c r="O79" i="2"/>
  <c r="O75" i="2"/>
  <c r="O74" i="2"/>
  <c r="M73" i="2"/>
  <c r="O73" i="2" s="1"/>
  <c r="O72" i="2"/>
  <c r="M71" i="2"/>
  <c r="O71" i="2" s="1"/>
  <c r="M70" i="2"/>
  <c r="O70" i="2" s="1"/>
  <c r="O69" i="2"/>
  <c r="N68" i="2"/>
  <c r="M68" i="2"/>
  <c r="L68" i="2"/>
  <c r="O68" i="2" s="1"/>
  <c r="N67" i="2"/>
  <c r="M67" i="2"/>
  <c r="O67" i="2" s="1"/>
  <c r="N63" i="2"/>
  <c r="M63" i="2"/>
  <c r="L63" i="2"/>
  <c r="O63" i="2" s="1"/>
  <c r="O62" i="2"/>
  <c r="O61" i="2"/>
  <c r="O60" i="2"/>
  <c r="O59" i="2"/>
  <c r="O58" i="2"/>
  <c r="M57" i="2"/>
  <c r="O57" i="2" s="1"/>
  <c r="N56" i="2"/>
  <c r="M56" i="2"/>
  <c r="M51" i="2" s="1"/>
  <c r="N55" i="2"/>
  <c r="L55" i="2"/>
  <c r="L51" i="2" s="1"/>
  <c r="O54" i="2"/>
  <c r="L54" i="2"/>
  <c r="M53" i="2"/>
  <c r="O53" i="2" s="1"/>
  <c r="K51" i="2"/>
  <c r="K91" i="2" s="1"/>
  <c r="J51" i="2"/>
  <c r="J91" i="2" s="1"/>
  <c r="I51" i="2"/>
  <c r="I91" i="2" s="1"/>
  <c r="H51" i="2"/>
  <c r="G51" i="2"/>
  <c r="O50" i="2"/>
  <c r="G49" i="2"/>
  <c r="O49" i="2" s="1"/>
  <c r="N48" i="2"/>
  <c r="O48" i="2" s="1"/>
  <c r="M48" i="2"/>
  <c r="L48" i="2"/>
  <c r="N47" i="2"/>
  <c r="H47" i="2"/>
  <c r="O47" i="2" s="1"/>
  <c r="O43" i="2"/>
  <c r="O42" i="2"/>
  <c r="N42" i="2"/>
  <c r="M41" i="2"/>
  <c r="O41" i="2" s="1"/>
  <c r="O40" i="2"/>
  <c r="O39" i="2"/>
  <c r="O35" i="2"/>
  <c r="N34" i="2"/>
  <c r="H34" i="2"/>
  <c r="N33" i="2"/>
  <c r="L33" i="2"/>
  <c r="O33" i="2" s="1"/>
  <c r="L32" i="2"/>
  <c r="O32" i="2" s="1"/>
  <c r="L31" i="2"/>
  <c r="O31" i="2" s="1"/>
  <c r="O30" i="2"/>
  <c r="O29" i="2"/>
  <c r="O28" i="2"/>
  <c r="O27" i="2"/>
  <c r="O23" i="2"/>
  <c r="O22" i="2"/>
  <c r="O21" i="2"/>
  <c r="O20" i="2"/>
  <c r="O19" i="2"/>
  <c r="O18" i="2"/>
  <c r="N17" i="2"/>
  <c r="O17" i="2" s="1"/>
  <c r="N16" i="2"/>
  <c r="L13" i="2"/>
  <c r="H13" i="2"/>
  <c r="H91" i="2" s="1"/>
  <c r="V49" i="1"/>
  <c r="V24" i="1"/>
  <c r="V18" i="1"/>
  <c r="V241" i="1"/>
  <c r="V237" i="1"/>
  <c r="V236" i="1"/>
  <c r="V235" i="1"/>
  <c r="V226" i="1"/>
  <c r="V225" i="1"/>
  <c r="V224" i="1"/>
  <c r="V223" i="1"/>
  <c r="V220" i="1"/>
  <c r="U219" i="1"/>
  <c r="V219" i="1" s="1"/>
  <c r="U218" i="1"/>
  <c r="V218" i="1" s="1"/>
  <c r="V214" i="1"/>
  <c r="V213" i="1"/>
  <c r="V212" i="1"/>
  <c r="V211" i="1"/>
  <c r="V210" i="1"/>
  <c r="V209" i="1"/>
  <c r="V208" i="1"/>
  <c r="V207" i="1"/>
  <c r="V206" i="1"/>
  <c r="V205" i="1"/>
  <c r="V204" i="1"/>
  <c r="V201" i="1"/>
  <c r="V200" i="1"/>
  <c r="V199" i="1"/>
  <c r="V196" i="1"/>
  <c r="V195" i="1"/>
  <c r="V194" i="1"/>
  <c r="V193" i="1"/>
  <c r="V191" i="1"/>
  <c r="V190" i="1"/>
  <c r="V189" i="1"/>
  <c r="V188" i="1"/>
  <c r="V187" i="1"/>
  <c r="V186" i="1"/>
  <c r="V183" i="1"/>
  <c r="V182" i="1"/>
  <c r="V180" i="1"/>
  <c r="V179" i="1"/>
  <c r="V169" i="1"/>
  <c r="V165" i="1"/>
  <c r="V164" i="1"/>
  <c r="V162" i="1"/>
  <c r="V161" i="1"/>
  <c r="V160" i="1"/>
  <c r="V157" i="1"/>
  <c r="V155" i="1"/>
  <c r="V154" i="1"/>
  <c r="V153" i="1"/>
  <c r="V151" i="1"/>
  <c r="V148" i="1"/>
  <c r="V146" i="1"/>
  <c r="V138" i="1"/>
  <c r="V135" i="1"/>
  <c r="V134" i="1"/>
  <c r="V133" i="1"/>
  <c r="V132" i="1"/>
  <c r="V131" i="1"/>
  <c r="V127" i="1"/>
  <c r="V123" i="1"/>
  <c r="V121" i="1"/>
  <c r="V120" i="1"/>
  <c r="V119" i="1"/>
  <c r="V118" i="1"/>
  <c r="V117" i="1"/>
  <c r="V116" i="1"/>
  <c r="V113" i="1"/>
  <c r="V111" i="1"/>
  <c r="V109" i="1"/>
  <c r="V107" i="1"/>
  <c r="V105" i="1"/>
  <c r="V103" i="1"/>
  <c r="V102" i="1"/>
  <c r="V100" i="1"/>
  <c r="V99" i="1"/>
  <c r="V97" i="1"/>
  <c r="V96" i="1"/>
  <c r="V95" i="1"/>
  <c r="V93" i="1"/>
  <c r="V92" i="1"/>
  <c r="V91" i="1"/>
  <c r="V89" i="1"/>
  <c r="V88" i="1"/>
  <c r="V87" i="1"/>
  <c r="V86" i="1"/>
  <c r="V85" i="1"/>
  <c r="V84" i="1"/>
  <c r="V78" i="1"/>
  <c r="V76" i="1"/>
  <c r="V74" i="1"/>
  <c r="V72" i="1"/>
  <c r="V70" i="1"/>
  <c r="V64" i="1"/>
  <c r="V63" i="1"/>
  <c r="V58" i="1"/>
  <c r="V54" i="1"/>
  <c r="V52" i="1"/>
  <c r="V51" i="1"/>
  <c r="V50" i="1"/>
  <c r="V48" i="1"/>
  <c r="V34" i="1"/>
  <c r="V31" i="1"/>
  <c r="V22" i="1"/>
  <c r="V21" i="1"/>
  <c r="V20" i="1"/>
  <c r="V16" i="1"/>
  <c r="T242" i="1"/>
  <c r="S242" i="1"/>
  <c r="R242" i="1"/>
  <c r="Q242" i="1"/>
  <c r="P242" i="1"/>
  <c r="O242" i="1"/>
  <c r="M242" i="1"/>
  <c r="L242" i="1"/>
  <c r="K242" i="1"/>
  <c r="J242" i="1"/>
  <c r="I242" i="1"/>
  <c r="H242" i="1"/>
  <c r="G242" i="1"/>
  <c r="T238" i="1"/>
  <c r="S238" i="1"/>
  <c r="R238" i="1"/>
  <c r="Q238" i="1"/>
  <c r="P238" i="1"/>
  <c r="O238" i="1"/>
  <c r="M238" i="1"/>
  <c r="L238" i="1"/>
  <c r="K238" i="1"/>
  <c r="J238" i="1"/>
  <c r="I238" i="1"/>
  <c r="H238" i="1"/>
  <c r="G238" i="1"/>
  <c r="T233" i="1"/>
  <c r="S233" i="1"/>
  <c r="R233" i="1"/>
  <c r="Q233" i="1"/>
  <c r="K233" i="1"/>
  <c r="K256" i="1" s="1"/>
  <c r="J233" i="1"/>
  <c r="J256" i="1" s="1"/>
  <c r="I233" i="1"/>
  <c r="I256" i="1" s="1"/>
  <c r="H233" i="1"/>
  <c r="H256" i="1" s="1"/>
  <c r="G233" i="1"/>
  <c r="O231" i="1"/>
  <c r="U231" i="1" s="1"/>
  <c r="O229" i="1"/>
  <c r="M229" i="1"/>
  <c r="L229" i="1"/>
  <c r="O217" i="1"/>
  <c r="W217" i="1" s="1"/>
  <c r="S216" i="1"/>
  <c r="R216" i="1"/>
  <c r="Q216" i="1"/>
  <c r="K216" i="1"/>
  <c r="G216" i="1"/>
  <c r="T178" i="1"/>
  <c r="T177" i="1"/>
  <c r="U177" i="1" s="1"/>
  <c r="T176" i="1"/>
  <c r="U176" i="1" s="1"/>
  <c r="T174" i="1"/>
  <c r="U174" i="1" s="1"/>
  <c r="T173" i="1"/>
  <c r="T172" i="1"/>
  <c r="U172" i="1" s="1"/>
  <c r="T170" i="1"/>
  <c r="U170" i="1" s="1"/>
  <c r="L159" i="1"/>
  <c r="L158" i="1"/>
  <c r="M156" i="1"/>
  <c r="M152" i="1"/>
  <c r="M150" i="1"/>
  <c r="L150" i="1"/>
  <c r="M149" i="1"/>
  <c r="O147" i="1"/>
  <c r="M147" i="1"/>
  <c r="O145" i="1"/>
  <c r="U145" i="1" s="1"/>
  <c r="M144" i="1"/>
  <c r="L143" i="1"/>
  <c r="M142" i="1"/>
  <c r="O141" i="1"/>
  <c r="M141" i="1"/>
  <c r="L141" i="1"/>
  <c r="O140" i="1"/>
  <c r="M140" i="1"/>
  <c r="M139" i="1"/>
  <c r="M136" i="1"/>
  <c r="L136" i="1"/>
  <c r="M130" i="1"/>
  <c r="M128" i="1"/>
  <c r="O110" i="1"/>
  <c r="U110" i="1" s="1"/>
  <c r="M108" i="1"/>
  <c r="M106" i="1"/>
  <c r="L104" i="1"/>
  <c r="M98" i="1"/>
  <c r="L98" i="1"/>
  <c r="M94" i="1"/>
  <c r="L94" i="1"/>
  <c r="J90" i="1"/>
  <c r="J216" i="1" s="1"/>
  <c r="I90" i="1"/>
  <c r="I216" i="1" s="1"/>
  <c r="H90" i="1"/>
  <c r="L83" i="1"/>
  <c r="H82" i="1"/>
  <c r="L81" i="1"/>
  <c r="L80" i="1"/>
  <c r="H80" i="1"/>
  <c r="I79" i="1"/>
  <c r="O75" i="1"/>
  <c r="U75" i="1" s="1"/>
  <c r="O73" i="1"/>
  <c r="M73" i="1"/>
  <c r="M71" i="1"/>
  <c r="L71" i="1"/>
  <c r="L69" i="1"/>
  <c r="O67" i="1"/>
  <c r="U67" i="1" s="1"/>
  <c r="L66" i="1"/>
  <c r="M62" i="1"/>
  <c r="V61" i="1"/>
  <c r="M60" i="1"/>
  <c r="M59" i="1"/>
  <c r="O57" i="1"/>
  <c r="M57" i="1"/>
  <c r="L57" i="1"/>
  <c r="O56" i="1"/>
  <c r="M56" i="1"/>
  <c r="O55" i="1"/>
  <c r="M55" i="1"/>
  <c r="L55" i="1"/>
  <c r="M45" i="1"/>
  <c r="O44" i="1"/>
  <c r="M44" i="1"/>
  <c r="P43" i="1"/>
  <c r="P39" i="1" s="1"/>
  <c r="O43" i="1"/>
  <c r="L43" i="1"/>
  <c r="L42" i="1"/>
  <c r="M41" i="1"/>
  <c r="V40" i="1"/>
  <c r="T39" i="1"/>
  <c r="S39" i="1"/>
  <c r="S79" i="1" s="1"/>
  <c r="R39" i="1"/>
  <c r="R79" i="1" s="1"/>
  <c r="Q39" i="1"/>
  <c r="Q79" i="1" s="1"/>
  <c r="O39" i="1"/>
  <c r="M39" i="1"/>
  <c r="K39" i="1"/>
  <c r="K79" i="1" s="1"/>
  <c r="J39" i="1"/>
  <c r="J79" i="1" s="1"/>
  <c r="I39" i="1"/>
  <c r="H39" i="1"/>
  <c r="G39" i="1"/>
  <c r="G37" i="1"/>
  <c r="O36" i="1"/>
  <c r="M36" i="1"/>
  <c r="L36" i="1"/>
  <c r="O35" i="1"/>
  <c r="H35" i="1"/>
  <c r="O33" i="1"/>
  <c r="U33" i="1" s="1"/>
  <c r="M32" i="1"/>
  <c r="V30" i="1"/>
  <c r="O28" i="1"/>
  <c r="H28" i="1"/>
  <c r="O27" i="1"/>
  <c r="L27" i="1"/>
  <c r="L26" i="1"/>
  <c r="L25" i="1"/>
  <c r="O14" i="1"/>
  <c r="W14" i="1" s="1"/>
  <c r="O13" i="1"/>
  <c r="U13" i="1" s="1"/>
  <c r="L12" i="1"/>
  <c r="H12" i="1"/>
  <c r="O86" i="2" l="1"/>
  <c r="L219" i="2"/>
  <c r="G264" i="2"/>
  <c r="W110" i="1"/>
  <c r="N219" i="2"/>
  <c r="W238" i="1"/>
  <c r="O56" i="2"/>
  <c r="O135" i="2"/>
  <c r="O247" i="2"/>
  <c r="O253" i="2"/>
  <c r="U217" i="1"/>
  <c r="V217" i="1" s="1"/>
  <c r="O55" i="2"/>
  <c r="W231" i="1"/>
  <c r="O112" i="2"/>
  <c r="O171" i="2"/>
  <c r="W67" i="1"/>
  <c r="T216" i="1"/>
  <c r="M219" i="2"/>
  <c r="W145" i="1"/>
  <c r="W75" i="1"/>
  <c r="O34" i="2"/>
  <c r="W13" i="1"/>
  <c r="N26" i="1"/>
  <c r="U152" i="1"/>
  <c r="V152" i="1" s="1"/>
  <c r="N152" i="1"/>
  <c r="W152" i="1" s="1"/>
  <c r="U27" i="1"/>
  <c r="V27" i="1" s="1"/>
  <c r="N27" i="1"/>
  <c r="W27" i="1" s="1"/>
  <c r="N35" i="1"/>
  <c r="N106" i="1"/>
  <c r="W106" i="1" s="1"/>
  <c r="N158" i="1"/>
  <c r="W158" i="1" s="1"/>
  <c r="U238" i="1"/>
  <c r="V238" i="1" s="1"/>
  <c r="N45" i="1"/>
  <c r="N62" i="1"/>
  <c r="N73" i="1"/>
  <c r="N81" i="1"/>
  <c r="W81" i="1" s="1"/>
  <c r="U81" i="1"/>
  <c r="V81" i="1" s="1"/>
  <c r="N108" i="1"/>
  <c r="N139" i="1"/>
  <c r="N142" i="1"/>
  <c r="N149" i="1"/>
  <c r="N159" i="1"/>
  <c r="N242" i="1"/>
  <c r="N25" i="1"/>
  <c r="W25" i="1" s="1"/>
  <c r="U25" i="1"/>
  <c r="V25" i="1" s="1"/>
  <c r="N83" i="1"/>
  <c r="N98" i="1"/>
  <c r="N128" i="1"/>
  <c r="W128" i="1" s="1"/>
  <c r="U128" i="1"/>
  <c r="N144" i="1"/>
  <c r="U173" i="1"/>
  <c r="N147" i="1"/>
  <c r="W147" i="1" s="1"/>
  <c r="U147" i="1"/>
  <c r="M233" i="1"/>
  <c r="M256" i="1" s="1"/>
  <c r="N37" i="1"/>
  <c r="N56" i="1"/>
  <c r="W56" i="1" s="1"/>
  <c r="U56" i="1"/>
  <c r="V56" i="1" s="1"/>
  <c r="N32" i="1"/>
  <c r="W32" i="1" s="1"/>
  <c r="M79" i="1"/>
  <c r="N59" i="1"/>
  <c r="W59" i="1" s="1"/>
  <c r="N141" i="1"/>
  <c r="N12" i="1"/>
  <c r="W12" i="1" s="1"/>
  <c r="N44" i="1"/>
  <c r="N71" i="1"/>
  <c r="W71" i="1" s="1"/>
  <c r="U71" i="1"/>
  <c r="V71" i="1" s="1"/>
  <c r="N136" i="1"/>
  <c r="N156" i="1"/>
  <c r="N41" i="1"/>
  <c r="W41" i="1" s="1"/>
  <c r="N28" i="1"/>
  <c r="L39" i="1"/>
  <c r="L79" i="1" s="1"/>
  <c r="L263" i="1" s="1"/>
  <c r="N42" i="1"/>
  <c r="W42" i="1" s="1"/>
  <c r="N94" i="1"/>
  <c r="V177" i="1"/>
  <c r="N69" i="1"/>
  <c r="N90" i="1"/>
  <c r="N130" i="1"/>
  <c r="N229" i="1"/>
  <c r="N60" i="1"/>
  <c r="N80" i="1"/>
  <c r="W80" i="1" s="1"/>
  <c r="U80" i="1"/>
  <c r="N104" i="1"/>
  <c r="N57" i="1"/>
  <c r="W57" i="1" s="1"/>
  <c r="U57" i="1"/>
  <c r="N36" i="1"/>
  <c r="N43" i="1"/>
  <c r="W43" i="1" s="1"/>
  <c r="U43" i="1"/>
  <c r="V43" i="1" s="1"/>
  <c r="N55" i="1"/>
  <c r="W55" i="1" s="1"/>
  <c r="U55" i="1"/>
  <c r="N66" i="1"/>
  <c r="N82" i="1"/>
  <c r="M216" i="1"/>
  <c r="N140" i="1"/>
  <c r="N143" i="1"/>
  <c r="N150" i="1"/>
  <c r="W150" i="1" s="1"/>
  <c r="V173" i="1"/>
  <c r="L216" i="1"/>
  <c r="L252" i="1" s="1"/>
  <c r="V170" i="1"/>
  <c r="V14" i="1"/>
  <c r="V128" i="1"/>
  <c r="H79" i="1"/>
  <c r="H254" i="1" s="1"/>
  <c r="M255" i="1"/>
  <c r="L233" i="1"/>
  <c r="L256" i="1" s="1"/>
  <c r="V13" i="1"/>
  <c r="V110" i="1"/>
  <c r="V145" i="1"/>
  <c r="V57" i="1"/>
  <c r="V75" i="1"/>
  <c r="V147" i="1"/>
  <c r="V67" i="1"/>
  <c r="O79" i="1"/>
  <c r="O258" i="1" s="1"/>
  <c r="V33" i="1"/>
  <c r="V101" i="1"/>
  <c r="V125" i="1"/>
  <c r="V167" i="1"/>
  <c r="V197" i="1"/>
  <c r="V203" i="1"/>
  <c r="V215" i="1"/>
  <c r="V221" i="1"/>
  <c r="V239" i="1"/>
  <c r="H216" i="1"/>
  <c r="H259" i="1" s="1"/>
  <c r="V198" i="1"/>
  <c r="K265" i="2"/>
  <c r="K266" i="2"/>
  <c r="K254" i="2"/>
  <c r="K263" i="2" s="1"/>
  <c r="L267" i="2"/>
  <c r="L264" i="2"/>
  <c r="I264" i="2"/>
  <c r="I267" i="2"/>
  <c r="M264" i="2"/>
  <c r="M267" i="2"/>
  <c r="H266" i="2"/>
  <c r="H265" i="2"/>
  <c r="J267" i="2"/>
  <c r="J264" i="2"/>
  <c r="N264" i="2"/>
  <c r="N267" i="2"/>
  <c r="I254" i="2"/>
  <c r="I263" i="2" s="1"/>
  <c r="I266" i="2"/>
  <c r="I265" i="2"/>
  <c r="J254" i="2"/>
  <c r="J263" i="2" s="1"/>
  <c r="J265" i="2"/>
  <c r="J266" i="2"/>
  <c r="O219" i="2"/>
  <c r="O13" i="2"/>
  <c r="L91" i="2"/>
  <c r="H219" i="2"/>
  <c r="H254" i="2" s="1"/>
  <c r="H263" i="2" s="1"/>
  <c r="O238" i="2"/>
  <c r="O242" i="2" s="1"/>
  <c r="O268" i="2" s="1"/>
  <c r="N242" i="2"/>
  <c r="N268" i="2" s="1"/>
  <c r="K264" i="2"/>
  <c r="O16" i="2"/>
  <c r="N51" i="2"/>
  <c r="O51" i="2" s="1"/>
  <c r="G91" i="2"/>
  <c r="M91" i="2"/>
  <c r="V234" i="1"/>
  <c r="V222" i="1"/>
  <c r="V172" i="1"/>
  <c r="V174" i="1"/>
  <c r="V15" i="1"/>
  <c r="V17" i="1"/>
  <c r="V23" i="1"/>
  <c r="V47" i="1"/>
  <c r="V53" i="1"/>
  <c r="V77" i="1"/>
  <c r="V231" i="1"/>
  <c r="K258" i="1"/>
  <c r="K253" i="1"/>
  <c r="K254" i="1"/>
  <c r="Q263" i="1"/>
  <c r="R263" i="1"/>
  <c r="V176" i="1"/>
  <c r="O216" i="1"/>
  <c r="K263" i="1"/>
  <c r="S263" i="1"/>
  <c r="P79" i="1"/>
  <c r="P243" i="1" s="1"/>
  <c r="I252" i="1"/>
  <c r="I255" i="1"/>
  <c r="I259" i="1"/>
  <c r="G259" i="1"/>
  <c r="G252" i="1"/>
  <c r="G255" i="1"/>
  <c r="O233" i="1"/>
  <c r="O256" i="1" s="1"/>
  <c r="I243" i="1"/>
  <c r="T79" i="1"/>
  <c r="T263" i="1" s="1"/>
  <c r="I258" i="1"/>
  <c r="I253" i="1"/>
  <c r="I254" i="1"/>
  <c r="J255" i="1"/>
  <c r="J259" i="1"/>
  <c r="J252" i="1"/>
  <c r="J243" i="1"/>
  <c r="Q243" i="1"/>
  <c r="Q266" i="1" s="1"/>
  <c r="G79" i="1"/>
  <c r="K255" i="1"/>
  <c r="K259" i="1"/>
  <c r="K252" i="1"/>
  <c r="K243" i="1"/>
  <c r="R243" i="1"/>
  <c r="R266" i="1" s="1"/>
  <c r="J258" i="1"/>
  <c r="J253" i="1"/>
  <c r="J254" i="1"/>
  <c r="V178" i="1"/>
  <c r="G256" i="1"/>
  <c r="S243" i="1"/>
  <c r="S266" i="1" s="1"/>
  <c r="I263" i="1"/>
  <c r="V55" i="1"/>
  <c r="J263" i="1"/>
  <c r="U98" i="1" l="1"/>
  <c r="V98" i="1" s="1"/>
  <c r="W98" i="1"/>
  <c r="U69" i="1"/>
  <c r="V69" i="1" s="1"/>
  <c r="W69" i="1"/>
  <c r="U242" i="1"/>
  <c r="V242" i="1" s="1"/>
  <c r="W242" i="1"/>
  <c r="U66" i="1"/>
  <c r="V66" i="1" s="1"/>
  <c r="W66" i="1"/>
  <c r="U26" i="1"/>
  <c r="V26" i="1" s="1"/>
  <c r="W26" i="1"/>
  <c r="U45" i="1"/>
  <c r="V45" i="1" s="1"/>
  <c r="W45" i="1"/>
  <c r="O254" i="1"/>
  <c r="U44" i="1"/>
  <c r="V44" i="1" s="1"/>
  <c r="W44" i="1"/>
  <c r="U159" i="1"/>
  <c r="V159" i="1" s="1"/>
  <c r="W159" i="1"/>
  <c r="U158" i="1"/>
  <c r="V158" i="1" s="1"/>
  <c r="U83" i="1"/>
  <c r="V83" i="1" s="1"/>
  <c r="W83" i="1"/>
  <c r="U36" i="1"/>
  <c r="V36" i="1" s="1"/>
  <c r="W36" i="1"/>
  <c r="U94" i="1"/>
  <c r="V94" i="1" s="1"/>
  <c r="W94" i="1"/>
  <c r="U149" i="1"/>
  <c r="V149" i="1" s="1"/>
  <c r="W149" i="1"/>
  <c r="U90" i="1"/>
  <c r="V90" i="1" s="1"/>
  <c r="W90" i="1"/>
  <c r="H258" i="1"/>
  <c r="U141" i="1"/>
  <c r="V141" i="1" s="1"/>
  <c r="W141" i="1"/>
  <c r="U142" i="1"/>
  <c r="V142" i="1" s="1"/>
  <c r="W142" i="1"/>
  <c r="U106" i="1"/>
  <c r="V106" i="1" s="1"/>
  <c r="U156" i="1"/>
  <c r="V156" i="1" s="1"/>
  <c r="W156" i="1"/>
  <c r="U37" i="1"/>
  <c r="V37" i="1" s="1"/>
  <c r="W37" i="1"/>
  <c r="H253" i="1"/>
  <c r="U150" i="1"/>
  <c r="V150" i="1" s="1"/>
  <c r="U42" i="1"/>
  <c r="V42" i="1" s="1"/>
  <c r="U59" i="1"/>
  <c r="V59" i="1" s="1"/>
  <c r="U139" i="1"/>
  <c r="V139" i="1" s="1"/>
  <c r="W139" i="1"/>
  <c r="U35" i="1"/>
  <c r="V35" i="1" s="1"/>
  <c r="W35" i="1"/>
  <c r="U60" i="1"/>
  <c r="V60" i="1" s="1"/>
  <c r="W60" i="1"/>
  <c r="U130" i="1"/>
  <c r="V130" i="1" s="1"/>
  <c r="W130" i="1"/>
  <c r="U143" i="1"/>
  <c r="V143" i="1" s="1"/>
  <c r="W143" i="1"/>
  <c r="U104" i="1"/>
  <c r="V104" i="1" s="1"/>
  <c r="W104" i="1"/>
  <c r="U144" i="1"/>
  <c r="V144" i="1" s="1"/>
  <c r="W144" i="1"/>
  <c r="U108" i="1"/>
  <c r="V108" i="1" s="1"/>
  <c r="W108" i="1"/>
  <c r="U82" i="1"/>
  <c r="V82" i="1" s="1"/>
  <c r="W82" i="1"/>
  <c r="U73" i="1"/>
  <c r="V73" i="1" s="1"/>
  <c r="W73" i="1"/>
  <c r="U62" i="1"/>
  <c r="V62" i="1" s="1"/>
  <c r="W62" i="1"/>
  <c r="U140" i="1"/>
  <c r="V140" i="1" s="1"/>
  <c r="W140" i="1"/>
  <c r="U28" i="1"/>
  <c r="V28" i="1" s="1"/>
  <c r="W28" i="1"/>
  <c r="N233" i="1"/>
  <c r="W233" i="1" s="1"/>
  <c r="W229" i="1"/>
  <c r="U136" i="1"/>
  <c r="V136" i="1" s="1"/>
  <c r="W136" i="1"/>
  <c r="U41" i="1"/>
  <c r="V41" i="1" s="1"/>
  <c r="U32" i="1"/>
  <c r="V32" i="1" s="1"/>
  <c r="O253" i="1"/>
  <c r="N39" i="1"/>
  <c r="H263" i="1"/>
  <c r="U229" i="1"/>
  <c r="V229" i="1" s="1"/>
  <c r="H255" i="1"/>
  <c r="H252" i="1"/>
  <c r="N79" i="1"/>
  <c r="L259" i="1"/>
  <c r="N216" i="1"/>
  <c r="W216" i="1" s="1"/>
  <c r="U12" i="1"/>
  <c r="V12" i="1" s="1"/>
  <c r="M252" i="1"/>
  <c r="L255" i="1"/>
  <c r="M259" i="1"/>
  <c r="O263" i="1"/>
  <c r="L253" i="1"/>
  <c r="L258" i="1"/>
  <c r="V80" i="1"/>
  <c r="O243" i="1"/>
  <c r="O265" i="1" s="1"/>
  <c r="J264" i="1"/>
  <c r="L243" i="1"/>
  <c r="L261" i="1" s="1"/>
  <c r="M243" i="1"/>
  <c r="M251" i="1" s="1"/>
  <c r="H243" i="1"/>
  <c r="H251" i="1" s="1"/>
  <c r="L254" i="1"/>
  <c r="O91" i="2"/>
  <c r="O264" i="2"/>
  <c r="O267" i="2"/>
  <c r="N91" i="2"/>
  <c r="M266" i="2"/>
  <c r="M254" i="2"/>
  <c r="M263" i="2" s="1"/>
  <c r="M265" i="2"/>
  <c r="G266" i="2"/>
  <c r="G254" i="2"/>
  <c r="G263" i="2" s="1"/>
  <c r="G265" i="2"/>
  <c r="H264" i="2"/>
  <c r="H267" i="2"/>
  <c r="L265" i="2"/>
  <c r="L266" i="2"/>
  <c r="L254" i="2"/>
  <c r="L263" i="2" s="1"/>
  <c r="Q264" i="1"/>
  <c r="P266" i="1"/>
  <c r="O261" i="1"/>
  <c r="M254" i="1"/>
  <c r="M258" i="1"/>
  <c r="M253" i="1"/>
  <c r="I264" i="1"/>
  <c r="J265" i="1"/>
  <c r="J261" i="1"/>
  <c r="J251" i="1"/>
  <c r="J266" i="1"/>
  <c r="M263" i="1"/>
  <c r="S264" i="1"/>
  <c r="P263" i="1"/>
  <c r="P264" i="1" s="1"/>
  <c r="K264" i="1"/>
  <c r="I265" i="1"/>
  <c r="I261" i="1"/>
  <c r="I251" i="1"/>
  <c r="I266" i="1"/>
  <c r="H261" i="1"/>
  <c r="R264" i="1"/>
  <c r="G254" i="1"/>
  <c r="G258" i="1"/>
  <c r="G253" i="1"/>
  <c r="G263" i="1"/>
  <c r="O259" i="1"/>
  <c r="O252" i="1"/>
  <c r="O255" i="1"/>
  <c r="T243" i="1"/>
  <c r="T266" i="1" s="1"/>
  <c r="K261" i="1"/>
  <c r="K251" i="1"/>
  <c r="K266" i="1"/>
  <c r="K265" i="1"/>
  <c r="M266" i="1"/>
  <c r="M261" i="1"/>
  <c r="G243" i="1"/>
  <c r="U216" i="1" l="1"/>
  <c r="L264" i="1"/>
  <c r="U39" i="1"/>
  <c r="W39" i="1"/>
  <c r="L251" i="1"/>
  <c r="N243" i="1"/>
  <c r="W243" i="1" s="1"/>
  <c r="W79" i="1"/>
  <c r="L265" i="1"/>
  <c r="L266" i="1"/>
  <c r="U233" i="1"/>
  <c r="U256" i="1" s="1"/>
  <c r="V39" i="1"/>
  <c r="U79" i="1"/>
  <c r="V79" i="1" s="1"/>
  <c r="M265" i="1"/>
  <c r="M264" i="1"/>
  <c r="O264" i="1"/>
  <c r="O251" i="1"/>
  <c r="O266" i="1"/>
  <c r="G264" i="1"/>
  <c r="H265" i="1"/>
  <c r="H264" i="1"/>
  <c r="H266" i="1"/>
  <c r="O266" i="2"/>
  <c r="O265" i="2"/>
  <c r="O254" i="2"/>
  <c r="O263" i="2" s="1"/>
  <c r="N266" i="2"/>
  <c r="N254" i="2"/>
  <c r="N263" i="2" s="1"/>
  <c r="N265" i="2"/>
  <c r="G251" i="1"/>
  <c r="G266" i="1"/>
  <c r="U261" i="1"/>
  <c r="G265" i="1"/>
  <c r="G261" i="1"/>
  <c r="U252" i="1"/>
  <c r="U255" i="1"/>
  <c r="U259" i="1"/>
  <c r="V216" i="1"/>
  <c r="V251" i="1"/>
  <c r="T264" i="1"/>
  <c r="V233" i="1" l="1"/>
  <c r="U263" i="1"/>
  <c r="V244" i="1"/>
  <c r="U254" i="1"/>
  <c r="U243" i="1"/>
  <c r="U266" i="1" s="1"/>
  <c r="U253" i="1"/>
  <c r="U258" i="1"/>
  <c r="U264" i="1" l="1"/>
  <c r="V243" i="1"/>
  <c r="V252" i="1"/>
  <c r="U251" i="1"/>
</calcChain>
</file>

<file path=xl/sharedStrings.xml><?xml version="1.0" encoding="utf-8"?>
<sst xmlns="http://schemas.openxmlformats.org/spreadsheetml/2006/main" count="3260" uniqueCount="447">
  <si>
    <t>Перелік завдань і заходів  Програми розвитку підприємств міського електро- та автотранспорту на 2016 – 2028 роки</t>
  </si>
  <si>
    <t>№ п/п</t>
  </si>
  <si>
    <t>Назва напряму діяльності (пріоритетні завдання) </t>
  </si>
  <si>
    <t>Перелік заходів програми </t>
  </si>
  <si>
    <t>Строк  рр.</t>
  </si>
  <si>
    <t>Виконавці </t>
  </si>
  <si>
    <t>Джерела фінансу-вання </t>
  </si>
  <si>
    <t>Орієнтовні обсяги потреби в фінансуванні (вартість),  тис. гривень, у тому числі:</t>
  </si>
  <si>
    <t xml:space="preserve">Усього </t>
  </si>
  <si>
    <t>Розвиток Комунального  підприємства «Міський тролейбус» для задоволення потреб громадян у доступних, якісних і безпечних перевезеннях</t>
  </si>
  <si>
    <t>1.1. Фінансове забезпечення комунального підприємства для створення необхідних умов  його функціонування  (у тому числі: на оплату праці з нарахуваннями на оплату праці, на енергоносії, інші поточні видатки)</t>
  </si>
  <si>
    <t>2016-2021</t>
  </si>
  <si>
    <t>Управління транспорту та телекомунікацій виконкому Криворізької міської ради – головний розпорядник,                                                                                                                                                                                                                   КП «Міський тролейбус» – одержувач коштів</t>
  </si>
  <si>
    <t xml:space="preserve"> Бюджет Криворізької міської територіальної громади</t>
  </si>
  <si>
    <t xml:space="preserve">1.2. Поповнення статутного капіталу Комунального підприємства «Міський тролейбус» для придбання й наладки: 
1.2.1 комплекту обладнання (тягового перетворювача з системою керування тяговим двигуном постійного струму без рекуперації й дизель-генераторної установки); 
1.2.2 комплекту обладнання (мікропроцесорна система керування тяговим двигуном, дизель-генераторна установка, тощо) для забезпечення джерел резервного живлення на тролейбусах </t>
  </si>
  <si>
    <t>2016-2028</t>
  </si>
  <si>
    <t>1.3. Придбання окремих запчастин, матеріалів, вузлів, агрегатів, обладнання (устаткування) для виконання капітальних і капітально-відновлювальних ремонтів тролейбусів</t>
  </si>
  <si>
    <t>1.4. Розробка та погодження  проєкту технічних умов на тролейбус з автономним ходом</t>
  </si>
  <si>
    <t>2016-2020</t>
  </si>
  <si>
    <t>1.5. Розробка, погодження програми випробувань та виконання приймальних випробувань тролейбуса  з автономним ходом</t>
  </si>
  <si>
    <t>1.6. Розробка технічного завдання на тролейбус для м.Кривого Рогу</t>
  </si>
  <si>
    <t>1.7. Розробка ескізного проєкту тролейбуса для м. Кривого Рогу</t>
  </si>
  <si>
    <t xml:space="preserve">1.8. Виконання робіт з капітального і капітально-відновлювального ремонту тролейбусів, відновлення каркасів кузовів тролейбусів </t>
  </si>
  <si>
    <t>1.9. Розробка технічного проєкту й конструкторської документації на виготовлення низькопольного тролейбуса для м. Кривого Рогу</t>
  </si>
  <si>
    <t>1.10. Розробка та погодження  проєкту технічних умов на  тролейбус  низькопольний</t>
  </si>
  <si>
    <t xml:space="preserve">1.11. Розробка, погодження програми приймальних випробувань та виконання приймальних випробувань тролейбуса низькопольного </t>
  </si>
  <si>
    <t>1.12. Проведення сертифікації виготовленого тролейбуса низькопольного</t>
  </si>
  <si>
    <t>1.13. Придбання  матеріалів, вузлів, агрегатів, обладнання (устаткування) комплектуючих елементів,  кузова  для виготовлення низькопольного тролейбуса</t>
  </si>
  <si>
    <t>1.14. Придбання запасних частин та матеріалів  для виконання поточного ремонту контактної мережі тролейбуса на окремих ділянках</t>
  </si>
  <si>
    <t>2016-2023</t>
  </si>
  <si>
    <t>1.15. Придбання окремих запчастин, матеріалів, вузлів, агрегатів для виконання поточних ремонтів тролейбусів</t>
  </si>
  <si>
    <t xml:space="preserve">1.16. Придбання автошин для Комунального підприємства «Міський тролейбус» </t>
  </si>
  <si>
    <t>1.17. Придбання комплекту обладнання (електронної/ мікропроцесорної  системи керування тяговим двигуном тролейбуса, тягового асинхронного двигуна, перетворювачів,  тощо) для технічного переоснащення систем керування  тролейбусів на системи електронного типу</t>
  </si>
  <si>
    <t>1.18. Поповнення статутного капіталу для придбання обладнання, матеріалів та  виконання робіт  на об'єкті «Технічне переоснащення розпо-дільчого пункту 6кВ та комірок пос-тійного струму  тягової підстанції № 4   КП «Міський тролейбус», м. Кривий Ріг, Дніпропетровська обл.» (співфінансування згідно з договором з ЄБРР)</t>
  </si>
  <si>
    <t>1.19. Поповнення статутного капіталу  для придбання обладнання, матеріалів та виконання робіт  на об'єкті «Технічне переоснащення електрообладнання  тягової  підстанції № 7 КП «Міський тролейбус», м. Кривий Ріг, Дніпропетровська обл.»</t>
  </si>
  <si>
    <t>1.20. Поповнення статутного капіталу  для придбання обладнання, матеріалів та виконання робіт на  об'єкті  «Технічне переоснащення РУ-0,4кВ ТП-000 в структурних підрозділах КП «Міський тролейбус», за адресою: вул. Дніпровське шосе, 22, м. Кривий Ріг, Дніпропетровська область (співфінансування згідно з договором з ЄБРР)</t>
  </si>
  <si>
    <t>1.21. Поповнення статутного капіталу для придбання обладнання, матеріалів та  виконання робіт  на об'єкті «Технічне переоснащення електро- обладнання  тягової  підстанції   №6 КП «Міський тролейбус»,  м.Кривий Ріг, Дніпропетровська обл.»</t>
  </si>
  <si>
    <t>1.22. Поповнення статутного капіталу Комунального підприємства «Міський тролейбус» для придбання обладнання, матеріалів та  виконання робіт  на об'єкті «Реконструкція електрообладнання тягової підстанції № 30 КП «Міський тролейбус», м.Кривий Ріг, Дніпропетровська обл.»</t>
  </si>
  <si>
    <t>1.23. Поповнення статутного капіталу Комунального підприємства «Міський тролейбус» для придбання обладнання, матеріалів та  виконання робіт  на об'єкті «Технічне переоснащення електрообладнання тягової підстанції № 10  Комунального підприємства «Міський тролейбус», м.Кривий Ріг, Дніпропетровська обл.»</t>
  </si>
  <si>
    <t>1.24. Поповнення статутного капіталу   для виконання робіт на об'єкті  «Модернізація електрообладнання тягових підстанцій підприємства та переведення його на телеуправління для Комунального підприємства «Міський тролейбус» в м. Кривому Розі»  (автоматизована  система управління телемеханіки)</t>
  </si>
  <si>
    <t>1.25. Поповнення статутного капіталу Комунального підприємства «Міський тролейбус» на придбання автобусів</t>
  </si>
  <si>
    <t>1.26. Послуги щодо фінансового лізингу на придбання  комунального транспорту (тролейбусів та автобусів)</t>
  </si>
  <si>
    <t>1.27. Поповнення  статутного  капіталу Комунального  підприємства  «Міський тролейбус» для придбання запчастин і матеріалів для реконструкції ліній  живлення контактної мережі тролейбуса від тягової підстанції №21</t>
  </si>
  <si>
    <t>1.28. Поповнення статутного капіталу на придбання  автомобільної,  тракторної техніки, технологічного транспорту, навісного обладнання</t>
  </si>
  <si>
    <t>2019-2028</t>
  </si>
  <si>
    <t>у тому числі:</t>
  </si>
  <si>
    <t>колісний навантажувач з телескопічною стрілою «Bobcat T35.130SLP» у комплекті з навісним обладнанням</t>
  </si>
  <si>
    <t>машина аварійна для ремонту  контактних мереж «АТ-70М-041»</t>
  </si>
  <si>
    <t>автомобіль-самоскид, вантажо-підйомністю не менше 18 т</t>
  </si>
  <si>
    <t>трактор з навісним обладнанням</t>
  </si>
  <si>
    <t>тракторний причіп 2ПТС-4</t>
  </si>
  <si>
    <t>міні-навантажувач у комплекті з навісним обладнанням</t>
  </si>
  <si>
    <t>навісне обладнання для тракторної техніки</t>
  </si>
  <si>
    <t xml:space="preserve">вантажний бортовий автомобіль з краном- маніпулятором  (автомобіль-маніпулятор) 
</t>
  </si>
  <si>
    <t xml:space="preserve">колісний екскаватор-навантажувач у комплекті з навісним обладнанням </t>
  </si>
  <si>
    <t>міні-екскаватор з навісним обладнанням</t>
  </si>
  <si>
    <t>автомобіль, спеціальний, пересувна електролабораторія</t>
  </si>
  <si>
    <t>автомобіль, седельний тягач</t>
  </si>
  <si>
    <t>автомобіль, аварійний</t>
  </si>
  <si>
    <t xml:space="preserve">автомобіль, спеціальний, паливозаправщик </t>
  </si>
  <si>
    <t xml:space="preserve">1.29. Придбання окремих запчастин, матеріалів для поточного ремонту автобусів </t>
  </si>
  <si>
    <t>2019-2023</t>
  </si>
  <si>
    <t xml:space="preserve">1.30. Послуги з  поточного ремонту та технічного  обслуговування транспортних засобів (автобусів) </t>
  </si>
  <si>
    <t>1.31. Виконання робіт з капітального ремонту автобусів</t>
  </si>
  <si>
    <t>1.32. Поповнення статутного капіталу на придбання обладнання для впровадження і функціонування автоматизованої системи обліку оплати/валідації  проїзду в комунальному транспорті (автобус, тролейбус)</t>
  </si>
  <si>
    <t xml:space="preserve">1.33. Поповнення статутного капіталу для виконання робіт на об'єкті  «Капітальний ремонт покрівлі та заміна скління  фонарів  будівлі  тролейбусного депо №2 за адресою: вул. Дніпровське шосе,22  в   Довгинцівському   районі м.Кривий Ріг Дніпропетровської області»   </t>
  </si>
  <si>
    <t xml:space="preserve">1.34. Поповнення статутного капіталу для виконання робіт на об'єкті «Завершення будівництва незавершеного будівництва ремонтного боксу тролейбусного депо №1, без зміни цільового призначення  за  адресою:  вул. Дж.Маккейна (Армавірська),  30  в  Покровському районі м.Кривий Ріг Дніпропетровської області» </t>
  </si>
  <si>
    <t>1.35. Поповнення статутного капіталу на придбання автобусів міського типу (3од.)</t>
  </si>
  <si>
    <t>2019-2020</t>
  </si>
  <si>
    <t>1.36. Поповнення статутного капіталу на капітальний ремонт нежитлової будівлі АТЦ літ.А-2 за адресою: 50045 м.Кривий Ріг, вул.Окружна, 11т</t>
  </si>
  <si>
    <t>1.37. Поповнення статутного капіталу на виконання робіт з капітального ремонту покрівель дахів та споруд у підрозділах підприємства на тягових підстанціях</t>
  </si>
  <si>
    <t>2021-2023</t>
  </si>
  <si>
    <t>1.38. Поповнення статутного капіталу на  виконання  робіт  з  реконструкції живлючих   ліній   6 кВ   від підстанцій «Складська 35» та РП-4  (заміна кабельних високовольтних вводів до тягової підстанції №4)</t>
  </si>
  <si>
    <t>2021-2028</t>
  </si>
  <si>
    <t>1.39. Поповнення статутного капіталу на виконання робіт з реконструкції живлюючих ліній 6 кВ від підстанцій «Складська 35» до тягової підстанції №5 (заміна кабельних високовольтних вводів до тягової підстанції №5) та реконструкції відходячих ліній 0,6 кВ від тягової підстанції №5</t>
  </si>
  <si>
    <t>1.40. Поповнення статутного капіталу для придбання виробничого обладнання, приладів, механізмів, верстатів, іншого обладнання, яке є  джерелами резервного живлення (зарядні станції тощо)</t>
  </si>
  <si>
    <t>1.41. Придбання невмонтованого обладнання (меблі, устаткування, обладнання, інше), що включене у вартість зведеного кошторису на капітальне будівництво  та  реконструкцію будов  і об'єктів</t>
  </si>
  <si>
    <t>1.42. Поповнення статутного капіталу на виконання робіт щодо будівництва та облаштування автоматичної портальної мийки для автотранспорту та автобусів</t>
  </si>
  <si>
    <t>1.43. Поповнення статутного капіталу на придбання багатофункціональних модульних будівель</t>
  </si>
  <si>
    <t>1.44. Реалізація Проєкту модернізації громадського тролейбусного транспорту м.Кривого Рогу за фінансування ЄБРР (виконання умов кредитного договору)</t>
  </si>
  <si>
    <t>1.45. Забезпечення надання послуг з перевезення пасажирів електротранспортом  (у тому числі: на оплату праці з нарахуваннями на оплату праці, на енергоносії, інші поточні видатки)</t>
  </si>
  <si>
    <t>1.46. Поповнення статутного капіталу для придбання електронних табло обладнання/устаткування для встановлення табло та підключення</t>
  </si>
  <si>
    <t>1.47.  Забезпечення надання послуг з перевезення пасажирів автотранспортом  (у тому числі: на оплату праці з нарахуваннями на оплату праці, на енергоносії, інші поточні видатки)</t>
  </si>
  <si>
    <t>2022-2028</t>
  </si>
  <si>
    <t>1.48  Послуги з енергетичного менеджменту (енергоаудит)</t>
  </si>
  <si>
    <t>1.49  Придбання нових автобусів</t>
  </si>
  <si>
    <t>2023-2028</t>
  </si>
  <si>
    <t>1.50. Поповнення статутного капіталу Комунального підприємства «Міський тролейбус» на придбання тролейбусів</t>
  </si>
  <si>
    <t>2024-2028</t>
  </si>
  <si>
    <t>1.51. Виконання ремонту захисних споруд цивільного захисту</t>
  </si>
  <si>
    <t>1.52. Поповнення статутного капіталу КП «Міський тролейбус» на  придбання  обладнання, устаткування для облаштування  захисних споруд цивільного захисту</t>
  </si>
  <si>
    <t>Усього</t>
  </si>
  <si>
    <t>Розвиток Комунального  підприємства «Швидкісний трамвай» для задоволення потреб громадян у доступних, якісних і безпечних перевезеннях</t>
  </si>
  <si>
    <t>2.1. Фінансова підтримка  Комунального підприємства</t>
  </si>
  <si>
    <t xml:space="preserve">Управління транспорту та телекомунікацій виконкому Криворізької міської ради – головний розпорядник, </t>
  </si>
  <si>
    <t>2.2. Придбання запасних частин та матеріалів для виконання поточного ремонту окремих ділянок трамвайних колій</t>
  </si>
  <si>
    <t>2.3. Поповнення статутного капіталу для придбання обладнання та предметів довгострокового використання</t>
  </si>
  <si>
    <t>КП «Швидкісний трамвай» – одержувач коштів</t>
  </si>
  <si>
    <t>2.4. Придбання контактного дроту, запасних частин та матеріалів для виконання поточного ремонту окремих ділянок контактної мережі</t>
  </si>
  <si>
    <t xml:space="preserve">2.5. Поповнення статутного капіталу Комунального підприємства «Швидкісний трамвай» для виконання робіт на об'єкті «Реконструкція тягової підстанції №58 з подовженням линії живлення контактної мережі по вул. Вітчизни, Криворіжсталі» </t>
  </si>
  <si>
    <t>2.6. Капітальний ремонт естакади через ставок №2 в районі станції швидкісного трамвая «Кільцева» (з коригуванням кошторисної документації)</t>
  </si>
  <si>
    <t>2.7. Поповнення статутного капіталу на виконання робочого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в Саксаганському районі м.Кривого Рогу», з коригуванням проєктно-кошторисної документації та проходженням експертизи</t>
  </si>
  <si>
    <t>2.8. Придбання пасажирських сидінь для встановлення в трамвайних вагонах</t>
  </si>
  <si>
    <t>2.9. Придбання   високовольтного   кабелю для виконання поточного ремонту кабельних мереж</t>
  </si>
  <si>
    <t xml:space="preserve">2.10. Придбання запчастин та матеріалів для виконання капітального ремонту трамвайних колій </t>
  </si>
  <si>
    <t>2.11. Придбання  бандажів та вісей колісних пар для трамвайних вагонів</t>
  </si>
  <si>
    <t>2.12. Придбання та встановлення приладів навігації GPS</t>
  </si>
  <si>
    <t>2.14. Придбання кабельної продукції для виконання поточного ремонту кабельних мереж</t>
  </si>
  <si>
    <t>2.15. Поповнення статутного капіталу на придбання автокрана вантажопідйомністю до 25 т</t>
  </si>
  <si>
    <t>2020-2023</t>
  </si>
  <si>
    <t>2.16. Придбання запасних частин та матеріалів  для   виконання   капітального ремонту  ділянки  трамвайної колії  по вул. Модрівській в Центрально-Місь-кому районі м. Кривого Рогу в межах СП№56 вузла ДРРЗ до ПК 37+8 переїзду по вул.Українській*</t>
  </si>
  <si>
    <t>2.17. Розробка робочого проєкту «Капітальний ремонт станції швидкісного трамвая «Зарічна»  Комунального підприємства   «Швидкісний   трамвай»  в Покровському районі м. Кривого Рогу», з коригуванням проєктно-кошторисної документації  та проходженням експертизи</t>
  </si>
  <si>
    <t xml:space="preserve">2.18. Капітально-відновлювальний ремонт кузовів трамвайних вагонів Т-3 з установленням устаткування та заміною  реостатно-контакторної системи управління на електронну систему </t>
  </si>
  <si>
    <t>2.19. Поповнення статутного капіталу на придбання обладнання для впровадження автоматизованої системи обліку оплати проїзду в комунальному транспорті (трамвай) та на станціях швидкісного трамвая</t>
  </si>
  <si>
    <t>2.20. Розробка   робочого проєкту      «Капітальний ремонт станції швидкісного трамвая «Майдан праці» (інв.№423) Комунального підприємства «Швидкісний трамвай» в  Саксаганському районі м.Кривого Рогу», з коригуванням проєктно-кошторисної документації  та проходженням експертизи</t>
  </si>
  <si>
    <t>2.21. Послуги щодо фінансового лізингу на придбання  комунального транспорту (трамваїв)</t>
  </si>
  <si>
    <t>2.22. Придбання опор СК 120-10 для виконання поточного ремонту контактної мережі</t>
  </si>
  <si>
    <t>2.23. Розробка  робочого  проєкту «Трамвайні колії  та благоустрій  на вул. Соборності в Метарлургійному районі м.Кривого  Рогу (реконструкція)»</t>
  </si>
  <si>
    <t>2.24. Придбання ліцензії на право користування комп'ютерною програмою для програмування транспортного терміналу (валідатора) з метою  впровадження автоматизованої системи обліку оплати проїзду в комунальному транспорті (трамвай) та на станціях швидкісного трамвая</t>
  </si>
  <si>
    <t>2.25. Придбання запасних частин та матеріалів для виконання поточного ремонту трамвайних вагонів</t>
  </si>
  <si>
    <t>2.26. Розробка робочого проєкту «Реконструкція трамвайних колій «пл. Домнобудівників- Кривий Ріг- Головний» на дільниці між вул. Серафимовича та вул. Залізничників у Довгинцівському районі м. Кривий Ріг Дніпропетровської області»*</t>
  </si>
  <si>
    <t>2020-2021</t>
  </si>
  <si>
    <t>2.27. Поповнення статутного капіталу на придбання автобусів міського типу</t>
  </si>
  <si>
    <t>2.28. Поповнення статутного капіталу на придбання автобусів вантажопасажирських</t>
  </si>
  <si>
    <t xml:space="preserve"> </t>
  </si>
  <si>
    <t>2.29. Капітальний ремонт станції швидкісного трамвая «Зарічна»  Комунального підприємства «Швидкісний трамвай» у Покровському районі м. Кривого Рогу</t>
  </si>
  <si>
    <t>2.30. Поповнення статутного капіталу на придбання зварювального агрегату з двигуном внутрішнього згоряння</t>
  </si>
  <si>
    <t>2.31. Поповнення статутного капіталу на придбання нового рухомого складу трамвайних вагонів</t>
  </si>
  <si>
    <t>2.32. Розробка робочого  проєкту  на капітальний ремонт станції швидкісного трамвая «Сонячна»</t>
  </si>
  <si>
    <t>2.34. Розробка робочого проєкту на капітальний ремонт покрівлі цеху технічних оглядів депо №1    КП «Швидкісний трамвай»</t>
  </si>
  <si>
    <t>2.38. Розробка робочого проєкту на капітальний ремонт станції швидкісного трамвая «Мудрьона»</t>
  </si>
  <si>
    <t>2.39. Технічне обстеження та розробка робочого проєкту на капітальний ремонт правого тунелю швидкісного трамвая від станції «Мудрьона» до станції «Будинок Рад»</t>
  </si>
  <si>
    <t>2.40. Технічне обстеження та розробка робочого проєкту на капітальний ремонт лівого тунелю швидкісного трамвая від станції «Мудрьона» до станції «Будинок Рад»</t>
  </si>
  <si>
    <t>2.41. Капітальний ремонт покрівлі складу депо №2 КП «Швидкісний трамвай»</t>
  </si>
  <si>
    <t xml:space="preserve">2.42. Капітальний ремонт станції швидкісного трамвая «Сонячна»  </t>
  </si>
  <si>
    <t xml:space="preserve"> 2.43. Капітальний ремонт покрівлі головного корпусу депо №2 
КП «Швидкісний трамвай»</t>
  </si>
  <si>
    <t xml:space="preserve">2.44. Капітальний ремонт покрівлі цеху технічних оглядів депо №1 
КП «Швидкісний трамвай»
</t>
  </si>
  <si>
    <t xml:space="preserve">2.45. Капітальний ремонт покрівлі мийного корпусу депо №2 
КП «Швидкісний трамвай»
</t>
  </si>
  <si>
    <t xml:space="preserve">2.46. Капітальний ремонт будівлі тягової підстанції № 57 
КП «Швидкісний трамвай»
</t>
  </si>
  <si>
    <t xml:space="preserve">2.47. Капітальний ремонт будівлі тягової підстанції № 59 
КП «Швидкісний трамвай»
</t>
  </si>
  <si>
    <t xml:space="preserve">2.48. Капітальний ремонт будівлі тягової підстанції № 60 
КП «Швидкісний трамвай»
</t>
  </si>
  <si>
    <t xml:space="preserve">2.49. Капітальний ремонт станції швидкісного трамвая «Майдан праці»
</t>
  </si>
  <si>
    <t>2.50. Капітальний ремонт станції швидкісного трамвая «Мудрьона»</t>
  </si>
  <si>
    <t>2.51. Капітальний ремонт правого тунелю швидкісного трамвая від станції «Мудрьона» до станції «Будинок Рад»</t>
  </si>
  <si>
    <t>2.52. Капітальний ремонт лівого тунелю швидкісного трамвая від станції «Мудрьона» до станції «Будинок Рад»</t>
  </si>
  <si>
    <t>2.55. Капітальний ремонт будівлі тягової  підстанції  №32  КП «Швид-кісний трамвай»</t>
  </si>
  <si>
    <t>2.59. Розробка робочого проєкту на заміну обладнання тягових підстанцій КП «Швидкісний трамвай» (кремнійових випрямачів, масляних вимикачів на вакуумні)</t>
  </si>
  <si>
    <t>2.60. Заміна обладнання тягових підстанцій КП «Швидкісний трамвай» (кремнійових випрямлячів, масляних вимикачів на вакуумні)</t>
  </si>
  <si>
    <t>2.61. Придбання  запасних частин, матеріалів, обладнання та інструменту для виконання капітально-відновлювальних ремонтів  трамвайних вагонів</t>
  </si>
  <si>
    <t>2.62. Придбання автогідропідіймача висувного типу</t>
  </si>
  <si>
    <t>2.63. Придбання трамвайного вагона-снігоочисника</t>
  </si>
  <si>
    <t>2.64. Придбання автомобіля-самоскида вантажопідйомністю 10,0-12,0 тонн</t>
  </si>
  <si>
    <t>2.65. Придбання бортового автомобіля вантажопідйомністю 4,5-5,0 тонн</t>
  </si>
  <si>
    <t>2.66. Поповнення статутного капіталу на придбання  спеціалізованої техніки - автовишки типу АТ-70М або еквівалента  для виконання ремонтних робіт на контактній мережі</t>
  </si>
  <si>
    <t xml:space="preserve">2.67. Придбання трактора з навісним обладнанням для прибирання снігу </t>
  </si>
  <si>
    <t>2.68. Придбання легкового автомобіля для службового використання</t>
  </si>
  <si>
    <t>2.69. Придбання верстату токарно-гвинторізного типу 1Н65</t>
  </si>
  <si>
    <t>2.70. Придбання пресу гідравлічного типу П-6736 для формування колісних пар трамвайних вагонів</t>
  </si>
  <si>
    <t>2.71. Придбання екскаватора-навантажувача</t>
  </si>
  <si>
    <t xml:space="preserve">2.72.  Реконструкція трамвайних колій та благоустрій на вул. Соборності в Метарлургійному районі м. Кривого  Рогу </t>
  </si>
  <si>
    <t>2.74. Капітальний ремонт акумуляторної  установки понижувальної підстанції станції «Зарічна» КП «Швидкісний трамвай»  у   Покровському  районі м. Кривого Рогу</t>
  </si>
  <si>
    <t>2.76. Реалізація проєкту модернізації громадського трамвайного транспорту м.Кривого Рогу за фінансування IFC (виконання умов кредитного договору)</t>
  </si>
  <si>
    <t>2.77. Забезпечення надання послуг з перевезення пасажирів електротранспортом (у тому числі: на оплату праці з нарахуваннями на оплату праці, на енергоносії, інші поточні видатки)</t>
  </si>
  <si>
    <t>2.78. Послуга з програмуван-ня/запуску комп'ютерної програми  «Термінальне програмне забезпечення Symbol Transport» на транспортний термінал (валідатор)</t>
  </si>
  <si>
    <t>2.80. Придбання комплекних трансформаторних підстанцій КТП-250/ 10/0,4 кВ та КТП-250/ 10/0,23 кВ</t>
  </si>
  <si>
    <t>2.81.  Придбання мінінавантажу-вача з навісним обладнанням</t>
  </si>
  <si>
    <t>2.82.  Придбання автомайстерні типу ФПВ-44406  або еквівалента</t>
  </si>
  <si>
    <t>2.83.  Придбання мобільних підкатних підйомників у комплекті з пультом управління</t>
  </si>
  <si>
    <t>2.84.  Придбання домкратів (комплекти гідравлічних підйомників)  типу HEGENSCHEIDT-MFD  або еквівалента</t>
  </si>
  <si>
    <t>2.85. Оплата  окремих супутніх послуг стороннім організаціям щодо виконання капітально-відновлювальних ремонтів трамвайних вагонів</t>
  </si>
  <si>
    <t>2.86. Послуги з проведення енергетичного обстеження  (аудиту)</t>
  </si>
  <si>
    <t>2.87. Поповнення статутного капіталу на придбання Автоматичної телефонної станції (IP АТС)</t>
  </si>
  <si>
    <t>2.88. Поповнення статутного капіталу на придбання спеціалізованої техніки - авто-крану вантажопідйомністю 25 т</t>
  </si>
  <si>
    <t>2.89. Поповнення статутного капіталу на придбання спеціалізованої техніки - автомобіля-самоскида вантажопідйомністю 10 т</t>
  </si>
  <si>
    <t>2.90. Поповнення статутного капіталу на придбання джерел резервного живлення - зарядних станцій</t>
  </si>
  <si>
    <t>2.91. Поповнення статутного капіталу на придбання насосів типу Д–200-36  або еквівалента у комплекті з електродвигунами для встановлення у тунельних спорудах КП «Швидкісний трамвай»</t>
  </si>
  <si>
    <t>2.92. Поповнення статутного капіталу на придбання установки для автоматичного наплавлення колісних пар</t>
  </si>
  <si>
    <t>2.93. Поповнення статутного капіталу на придбання зварювального агрегату типу Stanley Robotic або еквіваленту для зварювання стиків рейок</t>
  </si>
  <si>
    <t>2.94. Поповнення статутного капіталу на придбання верстату рейкошліфувального типу MPR 4000 Е або еквіваленту</t>
  </si>
  <si>
    <t>2.95. Поповнення статутного капіталу на придбання спеціалізованої техніки —  навантажувача типу Bobcat або еквівалент з навісним обладнанням</t>
  </si>
  <si>
    <t>2.96. Поповнення статутного капіталу на придбання спеціалізованої техніки — екскаватора-навантажувача типу ВОВСАТ В730 або еквівалент з навісним обладнанням</t>
  </si>
  <si>
    <t>2.97. Поповнення статутного капіталу на придбання спеціалізованої техніки —  колісного навантажувача з захватом типу HYUNDAI R180W-9S з навісним обладнанням або еквівалент</t>
  </si>
  <si>
    <t>2.98. Поповнення статутного капіталу на придбання спеціалізованої техніки — крана-маніпулятора на шасі JAC N120 або еквівалент</t>
  </si>
  <si>
    <t>2.99. Поповнення статутного капіталу на придбання спеціалізованої техніки  — екскаватора на гусеничному ходу типу Bobcat або еквівалент</t>
  </si>
  <si>
    <t>2.100. Поповнення статутного капіталу на придбання гільотини електромеханічної</t>
  </si>
  <si>
    <t>2.101. Поповнення статутного капіталу на придбання верстата листозгинального</t>
  </si>
  <si>
    <t>2.102. Поповнення статутного капіталу на придбання верстата трубо- та профілезгинального електричного</t>
  </si>
  <si>
    <t>2.103. Поповнення статутного капіталу на придбання шпалопідбивок типу ЕШП-Т або еквівалента</t>
  </si>
  <si>
    <t>2.104. Поповнення статутного капіталу на придбання об’єднаних важільних ножиць ручних з комплектом штампувальних блоків</t>
  </si>
  <si>
    <t>2.105. Поповнення статутного капіталу на придбання верстата стрічковопильного по металу</t>
  </si>
  <si>
    <t>2.106. Поповнення статутного капіталу на придбання токарно-гвинторізного верстата типу С6266С або еквівалента</t>
  </si>
  <si>
    <t>2.107. Поповнення статутного капіталу на придбання преса гідравлічного підлогового типу ОМА 654В або еквівалента</t>
  </si>
  <si>
    <t>2.108. Поповнення статутного капіталу на придбання зварювального інвертора типу Welding Dragon DigiTIG 400P ACDC або еквівалента</t>
  </si>
  <si>
    <t>2.109. Поповнення статутного капіталу на придбання ультразвукового однониткового рейкового дефектоскопа УДС2-77</t>
  </si>
  <si>
    <t>2.110. Поповнення статутного капіталу на придбання електростанції дизельної АД-4-Т/230-Т або еквівалента</t>
  </si>
  <si>
    <t>2.111. Поповнення статутного капіталу на придбання спеціалізованої техніки  — автомобіля аварійно-технічної допомоги для підйому трамвайних вагонів при сході з рейок</t>
  </si>
  <si>
    <t>2.112. Поповнення статутного капіталу на придбання автомобіля вантажопасажирського вантажопідйомністю 1т та пасажиромісткістю не менше 6 чол</t>
  </si>
  <si>
    <t>2.113. Поповнення статутного капіталу на придбання індукційного нагрівача підшипників</t>
  </si>
  <si>
    <t>2.115. Капітальний ремонт захисної споруди цивільного захисту (цивільної оборони) №14191 КП «Швидкісний трамвай» за адресою: майдан Праці, 1 у Саксаганському районі м. Кривого Рогу  Дніпропет-ровської області. Будівельно-монтажні роботи</t>
  </si>
  <si>
    <t>2.118. Розробка робочого проекту «Реконструкція сходових маршів станції «Зарічна» з монтажем підйомників для маломобільних груп населення», з проходженням експертизи</t>
  </si>
  <si>
    <t>2.119. Реконструкція сходових маршів станції «Зарічна» з монтажем підйомників для маломобільних груп населення, (будівельно-монтажні роботи)</t>
  </si>
  <si>
    <t>2.122. Розробка робочого проекту: «Реконструкція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Саксагансь-кому районі м.Кривого Рогу  Дніпропетровської області», з проходженням експертизи</t>
  </si>
  <si>
    <t>2.124. Корегування проекту «Капітальний ремонт акумуляторної установки понижувальної підстанції станції швидкісного трамваю «Вечірній Бульвар» Комунального підприємства «Швидкісний трамвай» в Саксаганському районі  м. Кривого Рогу»</t>
  </si>
  <si>
    <t>2.125. Капітальний ремонт акумуляторної установки понижувальної підстанції станції швидкісного трамваю «Вечірній Бульвар» Комунального підприємства «Швидкісний трамвай» в Саксаганському районі  м. Кривого Рогу. Будівельно-монтажні роботи</t>
  </si>
  <si>
    <t>2.126. Розробка робочого проекту «Капітальний ремонт акумуляторної установки понижувальної підстанції станції швидкісного трамваю «Зарічна» в Покровському районі м. Кривого Рогу»</t>
  </si>
  <si>
    <t>2.127. Розробка робочого проекту «Капітальний ремонт акумуляторної установки понижувальної підстанції станції швидкісного трамваю «Проспект Металургів» в Металургійному районі м.Кривого Рогу»</t>
  </si>
  <si>
    <t>2.128. Розробка проектно-кошторисної документації на реконструкцію понижувальної підстанції станції  швидкісного трамваю «Електрозаводська»</t>
  </si>
  <si>
    <t>2.132. Розробка робочого проекту «Реконструкція цеху технічних оглядів депо №1 КП «Швидкісний трамвай» у Металургійному районі м.Кривого Рогу Дніпропетровської області» (з монтажем автоматичної установки для мийки трамваїв)</t>
  </si>
  <si>
    <t>2.136. Коригування робочого проекту «Трамвайні колії та благоустрій на вул. Соборності в Металургійному районі м.Кривого Рогу (реконструкція)»</t>
  </si>
  <si>
    <t>Створення та розвиток Комунального  підприємства «Центр електронних послуг» Криворізької міської ради для підвищення якості надання послуг з перевезення пасажирів</t>
  </si>
  <si>
    <t>3.1.Фінансове забезпечення комунального підприємства на заходи, пов'язані з упровадженням автоматизованої системи обліку оплати проїзду</t>
  </si>
  <si>
    <t xml:space="preserve">Управління  транспорту та телекомунікацій виконкому Криворізької міської ради – головний розпорядник, </t>
  </si>
  <si>
    <t>3.2. Транспортні послуги з перевезень міським електричним транспортом КП «Міський тролейбус»</t>
  </si>
  <si>
    <t>Міський бюджет</t>
  </si>
  <si>
    <t>3.3. Транспортні послуги з перевезень міським електричним транспортом КП «Швидкісний трамвай»</t>
  </si>
  <si>
    <t>3.2. Поповнення статутного капіталу для придбання обладнання, предметів довгострокового використання та оргтехніки</t>
  </si>
  <si>
    <t>3.3. Поповнення статутного капіталу на придбання терміналів з обслуговування електронних квитків</t>
  </si>
  <si>
    <t>КП «Центр електронних послуг» Криворізької міської ради  – одержувач коштів</t>
  </si>
  <si>
    <t>3.4. Поповнення статутного капіталу на придбання легкових автомобілів</t>
  </si>
  <si>
    <t>3.5. Поповнення статутного капіталу на придбання картпринтерів</t>
  </si>
  <si>
    <t>3.6. Поповнення статутного капіталу на придбання автоматів поповнення карток</t>
  </si>
  <si>
    <t>3.7. Поповнення статутного капіталу на придбання програмних продуктів з можливістю  інтеграції  із  системою АССОП</t>
  </si>
  <si>
    <t>3.8. Поповнення статутного капіталу на створення системи єдиного контакт-центру</t>
  </si>
  <si>
    <t>3.9. Придбання транспортних терміналів (для оплати проїзду)</t>
  </si>
  <si>
    <t>3.10. Поповнення статутного капіталу на організацію та створення мережі місць зарядок для електромобілей</t>
  </si>
  <si>
    <t>3.11. Поповнення статутного капіталу на придбання телеметричної платформи з можливістю моніторингу транспорту (виключно ліцензія)</t>
  </si>
  <si>
    <t>3.12. Поповнення статутного капіталу на придбання GPS-трекера</t>
  </si>
  <si>
    <t>3.13. Надання фінансового забезпечення на заходи, пов'язані з функціонуванням електронної «Карти криворіжця» (із запрограмованим додатком) (у тому числі: на оплату праці з нарахуваннями, придбання предметів, матеріалів, обладнання, оплату комунальних послуг та енергоносіїв, оренди приміщення, експлуатаційно-сервісних послуг, інші поточні видатки)</t>
  </si>
  <si>
    <t>3.14. Придбання права користування програмним забезпеченням для здійснення транспортного планування та моделювання PTV Visum (безстрокова ліцензія)</t>
  </si>
  <si>
    <t>Конкурс проєктів місцевого розвитку «Громадський бюджет»</t>
  </si>
  <si>
    <t xml:space="preserve">4.1. «Color City:  «Художній   роспис індустріального міста» (облаштування паркану  тролейбусного   депо  №2               Комунального підприємства «Міський тролейбус»)                                 </t>
  </si>
  <si>
    <t>Управління транспорту та телекомунікацій  виконкому Криворізької міської ради – головний розпорядник коштів</t>
  </si>
  <si>
    <t>4.2.Облаштування  точок Wi-Fi доступу на маршрутах міського електротранспорту</t>
  </si>
  <si>
    <t>Управління транспорту та телекомунікацій  виконкому Криворізької міської ради – головний розпорядник, ГО «СІЧ» – одержувач коштів</t>
  </si>
  <si>
    <t>4.3. «Кольори промислового міста» (розпис технічних споруд Комунального підприємства «Швидкісний трамвай»)</t>
  </si>
  <si>
    <t>4.4. «Яскраві барви промислового міста» (розпис технічних будівель                                                                                                                                                                                                                                                                                     Комунального підприємства «Швидкісний трамвай»)</t>
  </si>
  <si>
    <t>Інші видатки</t>
  </si>
  <si>
    <t>5.1 Оптимізація міської маршрутної мережі пасажирського транспорту</t>
  </si>
  <si>
    <t>2017-2021</t>
  </si>
  <si>
    <t>5.2 Судові витрати та подання позовних заяв до суду</t>
  </si>
  <si>
    <t>5.3. Придбання номерних знаків, реєстрація, перереєстрація автотранспорту</t>
  </si>
  <si>
    <t>Усього за Програмою</t>
  </si>
  <si>
    <t>*Відповідно до рішення міської ради від 28.10.2022 №1515 «Про перейменування об'єктів топоніміки м. Кривого Рогу» вул. Серафимовича перейменовано на вул. Гетьмана Івана Мазепи, вул. Модрівську на вул. Прорізну.</t>
  </si>
  <si>
    <t>Керуюча справами виконкому                                                          Олена ШОВГЕЛЯ</t>
  </si>
  <si>
    <r>
      <t xml:space="preserve">                                                               </t>
    </r>
    <r>
      <rPr>
        <i/>
        <sz val="16"/>
        <rFont val="Times New Roman"/>
        <family val="1"/>
        <charset val="204"/>
      </rPr>
      <t>Додаток 2</t>
    </r>
  </si>
  <si>
    <r>
      <t xml:space="preserve">                                                               </t>
    </r>
    <r>
      <rPr>
        <i/>
        <sz val="16"/>
        <rFont val="Times New Roman"/>
        <family val="1"/>
        <charset val="204"/>
      </rPr>
      <t>до рішення міської ради</t>
    </r>
  </si>
  <si>
    <t xml:space="preserve">                    31.01.2023 №1694,     30.08.2023 №2149</t>
  </si>
  <si>
    <t>Перелік завдань і заходів  Програми розвитку підприємств міського електро- та автотранспорту на 2016 – 2023 роки</t>
  </si>
  <si>
    <t>1.1 Фінансове забезпечення комуналь-ного підприємства для створення необхідних умов  його функціонування  (у тому числі: на оплату праці з нарахуваннями на оплату праці, на енергоносії, інші поточні видатки)</t>
  </si>
  <si>
    <t>1.3. Придбання окремих запчастин, ма-теріалів, вузлів, агрегатів, обладнання (устаткування) для виконання капіталь-них і капітально-відновлювальних ремо-нтів тролейбусів</t>
  </si>
  <si>
    <t>1.4. Розробка та погодження  проєкту технічних умов на тролейбус з автоно-мним ходом</t>
  </si>
  <si>
    <t>1.6. Розробка технічного завдання на тролейбус для м. Кривого Рогу</t>
  </si>
  <si>
    <t>1.7. Розробка ескізного проєкту тролей-буса для м.Кривого Рогу</t>
  </si>
  <si>
    <t xml:space="preserve">1.8. Виконання робіт з капітального і ка-пітально-відновлювального ремонту тролейбусів, відновлення каркасів кузо-вів тролейбусів </t>
  </si>
  <si>
    <t>1.9. Розробка технічного проєкту й кон-структорської документації на вигото-влення низькопольного тролейбуса для                                                      м. Кривого  Рогу</t>
  </si>
  <si>
    <t xml:space="preserve">Продовження додатка 2  </t>
  </si>
  <si>
    <t>1.10. Розробка та погодження  проєкту технічних умов на  тролейбус  низько-польний</t>
  </si>
  <si>
    <t>1.12. Проведення сертифікації вигото-вленого тролейбуса низькопольного</t>
  </si>
  <si>
    <t>1.13. Придбання  матеріалів, вузлів, агрегатів, обладнання (устаткування) комплектуючих елементів,  кузова  для виготовлення низькопольного тролей-буса</t>
  </si>
  <si>
    <t>1.14. Придбання запасних частин та ма-теріалів  для виконання поточного ре-монту контактної мережі тролейбуса на окремих ділянках</t>
  </si>
  <si>
    <t>1.15. Придбання окремих запчастин, ма-теріалів, вузлів, агрегатів для виконання поточних ремонтів тролейбусів</t>
  </si>
  <si>
    <t xml:space="preserve">1.16. Придбання автошин для Кому-нального підприємства «Міський тро-лейбус» </t>
  </si>
  <si>
    <t>1.17. Придбання комплекту обладнання  (електронної  системи керування тяго-вим двигуном тролейбуса)</t>
  </si>
  <si>
    <t>1.18. Поповнення статутного капіталу для придбання обладнання, матеріалів та  виконання робіт  на об'єкті «Технічне переоснащення розпо-дільчого пункту 6кВ та комірок пос-тійного струму  тягової підстанції № 4   КП «Міський тролейбус», м. Кривий Ріг, Дніпропетровська обл.» (співфінан-сування згідно з договором з ЄБРР)</t>
  </si>
  <si>
    <t>1.19. Поповнення статутного капіталу  для придбання обладнання, матеріалів та виконання робіт  на об'єкті «Технічне переоснащення електрообладнання  тягової  підстанції   №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КП «Міський тролейбус», м.Кривий Ріг, Дніпропетровська обл.»</t>
  </si>
  <si>
    <t>1.20. Поповнення статутного капіталу  для придбання обладнання, матеріалів та виконання робіт на  об'єкті  «Технічне переоснащення РУ-0,4кВ ТП-000 в структурних підрозділах                           КП «Міський тролейбус», за адресою: вул. Дніпровське шосе, 22, м. Кривий Ріг, Дніпропетровська область (співфінансування згідно з договором з ЄБРР)</t>
  </si>
  <si>
    <t>1.21.Поповнення статутного капіталу для придбання обладнання, матеріалів та  виконання робіт  на об'єкті «Технічне переоснащення електро- обладнання  тягової  підстанції   №6            КП «Міський тролейбус»,  м.Кривий Ріг, Дніпропетровська обл.»</t>
  </si>
  <si>
    <t>1.22. Поповнення статутного капіталу Комунального підприємства «Міський тролейбус» для придбання обладнання, матеріалів та  виконання робіт  на об'єкті «Реконструкція електрообладнання тягової підстанції       № 30 КП «Міський тролейбус», м.Кривий Ріг, Дніпропетровська обл.»</t>
  </si>
  <si>
    <t>1.23. Поповнення статутного капіталу Комунального підприємства «Міський тролейбус» для придбання обладнання, матеріалів та  виконання робіт  на об'єкті «Технічне переоснащення еле-ктрообладнання тягової підстанції             № 10  Комунального підприємства «Міський тролейбус», м.Кривий Ріг, Дніпропетровська обл.»</t>
  </si>
  <si>
    <t>1.24. Поповнення статутного капіталу   для виконання робіт на об'єкті  «Модернізація електрооблад-нання тягових підстанцій підприємства та переведення його на телеуправління для Комунального підприємства «Міський тролейбус» в м. Кривому  Розі»  (автоматизована  система управління телемеханіки)</t>
  </si>
  <si>
    <t>1.27. Поповнення  статутного  капіталу Комунального  підприємства  «Міський тролейбус» для придбання запчастин і матеріалів для реконструкції ліній  жив-лення контактної мережі тролейбуса від тягової підстанції №21</t>
  </si>
  <si>
    <t>автомобіль-самоскид, вантажопідйомністю не менше 18 т</t>
  </si>
  <si>
    <t xml:space="preserve">вантажний бортовий автомобіль    
з краном-маніпулятором
</t>
  </si>
  <si>
    <t xml:space="preserve">1.29. Придбання окремих запчастин, ма-теріалів для поточного ремонту авто-бусів </t>
  </si>
  <si>
    <t xml:space="preserve">1.30. Послуги з  поточного ремонту та технічного  обслуговування транспо-ртних засобів (автобусів) </t>
  </si>
  <si>
    <t>1.32. Поповнення статутного капіталу на придбання обладнання для впровад-ження автоматизованої системи обліку оплати проїзду в комунальному транс-порті (автобус, тролейбус)</t>
  </si>
  <si>
    <t xml:space="preserve">1.34. Поповнення статутного капіталу для виконання робіт на об'єкті «Завершення будівництва незавершеного будівництва ремонтного боксу тролейбусного депо №1, без зміни цільового призначення  за  адресою:  вул.Армавірська,  30  в  Покровському районі м.Кривий Ріг Дніпропетровської області» </t>
  </si>
  <si>
    <t>1.38. Поповнення статутного капіталу на  виконання  робіт  з  реконструкції живлючих   ліній   6 кВ   від підстанцій «Складська 35» та РП-4  (заміна кабель-них високовольтних вводів до тягової підстанції №4)</t>
  </si>
  <si>
    <t>1.39. Поповнення статутного капіталу на виконання робіт з реконструкції живлюючих ліній 6 кВ від підстанцій «Складська 35» до тягової підстанції №5 (заміна кабельних високовольтних ввводів до тягової підстанції №5) та реконструкції відходячих ліній 0,6 кВ від тягової підстанції №5</t>
  </si>
  <si>
    <r>
      <t>1.41. Придбання невмонтованого обла-днання (меблі, устаткування, облад-нання, інше), що включене у вартість зведеного кошторису на капітальне бу-дівництво  та  реконструкцію будов  і об</t>
    </r>
    <r>
      <rPr>
        <sz val="10.5"/>
        <color indexed="8"/>
        <rFont val="Calibri"/>
        <family val="2"/>
        <charset val="204"/>
      </rPr>
      <t>'</t>
    </r>
    <r>
      <rPr>
        <sz val="10.5"/>
        <color indexed="8"/>
        <rFont val="Times New Roman"/>
        <family val="1"/>
        <charset val="204"/>
      </rPr>
      <t>єктів</t>
    </r>
  </si>
  <si>
    <t>1.44 Реалізація Проєкту модернізації громадського тролейбусного транспорту м. Кривого Рогу за фінансування ЄБРР (виконання умов кредитного договору)</t>
  </si>
  <si>
    <t>1.45 Поточний ремонт асфальтового покриття в  тролейбусних депо підприємства.</t>
  </si>
  <si>
    <t>1.45 Забезпечення надання послуг з пе-ревезення пасажирів електротранспо-ртом  (у тому числі: на оплату праці з нарахуваннями на оплату праці, на енергоносії, інші поточні видатки)</t>
  </si>
  <si>
    <t>1.46  Поповнення статутного капіталу для придбання електронних табло</t>
  </si>
  <si>
    <t>1.47  Забезпечення надання послуг з пе-ревезення пасажирів автотранспортом  (у тому числі: на оплату праці з нарахуваннями на оплату праці, на енергоносії, інші поточні видатки)</t>
  </si>
  <si>
    <t>2022-2023</t>
  </si>
  <si>
    <t>2.2. Придбання запасних частин та ма-теріалів для виконання поточного ремо-нту окремих ділянок трамвайних колій</t>
  </si>
  <si>
    <t>2.3. Поповнення статутного капіталу для придбання обладнання та предметів до-вгострокового використання</t>
  </si>
  <si>
    <t>2.4. Придбання контактного дроту, за-пасних частин та матеріалів для вико-нання поточного ремонту окремих діля-нок контактної мережі</t>
  </si>
  <si>
    <t xml:space="preserve">2.5. Поповнення статутного капіталу Комунального підприємства «Швид-кісний трамвай» для виконання робіт на об'єкті «Реконструкція тягової підстанції №58 з подовженням линії живлення контактної мережі по вул. Вітчизни, Криворіжсталі» </t>
  </si>
  <si>
    <t>2.6. Капітальний ремонт естакади через ставок №2 в районі станції швидкісного трамвая «Кільцева» (з коригуванням ко-шторисної документації)</t>
  </si>
  <si>
    <t>2.7. Поповнення статутного капіталу на виконання робочого проєкту «Капі-тальний ремонт акумуляторної уста-новки понижувальної підстанції станції швидкісного трамвая «Вечірній бульвар» Комунального підприємства «Швид-кісний трамвай» в Саксаганському районі м.Кривого Рогу», з коригуванням проєктно-кошторисної документації та проходженням експертизи</t>
  </si>
  <si>
    <t>2.9. Придбання   високовольтного   ка-белю для виконання поточного ремонту кабельних мереж</t>
  </si>
  <si>
    <t>2.11. Придбання  бандажів та вісей ко-лісних пар для трамвайних вагонів</t>
  </si>
  <si>
    <t>2.12. Придбання та встановлення при-ладів навігації GPS</t>
  </si>
  <si>
    <t>2.13.  Розробка робочого проєкту «За-ходи захисту від підтоплення та ліквідації його наслідків  правого перегонного тунелю швидкісного трамвая від станції «Мудрьона» до станції «Будинок Рад» у Саксаганському та Металургійному районах м. Кривий Ріг Дніпропетровської області - капітальний ремонт»</t>
  </si>
  <si>
    <t>2.15. Поповнення статутного капіталу на придбання автокрана вантажопідйом-ністю до 25 т</t>
  </si>
  <si>
    <t>2.16. Придбання запасних частин та ма-теріалів  для   виконання   капітального ремонту  ділянки  трамвайної колії  по вул. Модрівській в Центрально-Місь-кому районі м. Кривого Рогу в межах СП№56 вузла ДРРЗ до ПК 37+8 переїзду по вул.Українській*</t>
  </si>
  <si>
    <t>2.17. Розробка робочого проєкту «Ка-пітальний ремонт станції швидкісного трамвая «Зарічна»  Комунального під-приємства   «Швидкісний   трамвай»  в Покровському районі м. Кривого Рогу», з коригуванням проєктно-кошторисної документації  та проходженням експертизи</t>
  </si>
  <si>
    <t xml:space="preserve">2.18. Капітально-відновлювальний ре-монт кузовів трамвайних вагонів Т-3 з установленням устаткування та заміною  реостатно-контакторної системи управління на електронну систему </t>
  </si>
  <si>
    <t>2.19. Поповнення статутного капіталу на придбання обладнання для впровад-ження автоматизованої системи обліку оплати проїзду в комунальному тран-спорті (трамвай) та на станціях швидкісного трамвая</t>
  </si>
  <si>
    <t>2.22. Придбання опор СК 120-10 для виконання поточного ремонту конта-ктної мережі</t>
  </si>
  <si>
    <t>2.23. Розробка  робочого  проєкту «Трамвайні колії  та благоустрій  на вул. Соборності в Метарлургійному районі                                                               м. Кривого  Рогу (реконструкція)»</t>
  </si>
  <si>
    <t>2.24. Придбання ліцензії на право ко-ристування комп'ютерною програмою для програмування транспортного тер-міналу (валідатора) з метою  впровад-ження автоматизованої системи обліку оплати проїзду в комунальному тран-спорті (трамвай) та на станціях швид-кісного трамвая</t>
  </si>
  <si>
    <t>2.25. Придбання запасних частин та ма-теріалів для виконання поточного ре-монту трамвайних вагонів</t>
  </si>
  <si>
    <t>2.26. Розробка робочого проєкту «Ре-конструкція трамвайних колій «пл. До-мнобудівників- Кривий Ріг- Головний» на дільниці між вул. Серафимовича та вул. Залізничників у Довгинцівському районі м. Кривий Ріг Дніпропетровської області»*</t>
  </si>
  <si>
    <t>2.29. Капітальний ремонт станції швид-кісного трамвая «Зарічна»  Комуналь-ного підприємства «Швидкісний трам-вай» у Покровському районі м. Кривого Рогу</t>
  </si>
  <si>
    <t>2.30.Придбання запасних частин та матеріалів для виконання технічного обслуговування і поточного ремонту трамвайних вагонів</t>
  </si>
  <si>
    <t>2.33. Розробка  робочого  проєкту на капітальний ремонт покрівлі головного корпуса  депо  №2   КП «Швидкісний трамвай»</t>
  </si>
  <si>
    <t>2.34. Розробка робочого проєкту на капітальний ремонт покрівлі цеху тех-нічних оглядів депо №1 КП «Швид-кісний трамвай»</t>
  </si>
  <si>
    <t>2.35. Розробка робочого проєкту на капітальний ремонт будівлі тягової під-станції № 57  КП «Швидкісний трамвай»</t>
  </si>
  <si>
    <t>2.36. Розробка робочого проєкту на ка-пітальний ремонт будівлі тягової під-станції № 59  КП «Швидкісний трамвай»</t>
  </si>
  <si>
    <t>2.37. Розробка  робочого  проєкту на капітальний  ремонт будівлі   тягової підстанції № 60   КП   «Швидкісний трамвай»</t>
  </si>
  <si>
    <t>2.41. Капітальний ремонт покрівлі скла-ду депо №2 КП «Швидкісний трамвай»</t>
  </si>
  <si>
    <t xml:space="preserve">2.42. Капітальний ремонт станції шви-дкісного трамвая «Сонячна»  </t>
  </si>
  <si>
    <t xml:space="preserve"> 2.43. Капітальний ремонт покрівлі го-ловного корпусу депо №2 КП «Швид-кісний трамвай»</t>
  </si>
  <si>
    <t xml:space="preserve">2.44. Капітальний ремонт покрівлі цеху технічних оглядів депо №1 КП «Швид-кісний трамвай»
</t>
  </si>
  <si>
    <t xml:space="preserve">2.45. Капітальний ремонт покрівлі мий-ного корпусу депо №2 КП «Швидкісний трамвай»
</t>
  </si>
  <si>
    <t xml:space="preserve">2.46. Капітальний ремонт будівлі тягової підстанції № 57 КП «Швидкісний трамвай»
</t>
  </si>
  <si>
    <t xml:space="preserve">2.47. Капітальний ремонт будівлі тягової підстанції № 59 КП «Швидкісний трамвай»
</t>
  </si>
  <si>
    <t xml:space="preserve">2.48. Капітальний ремонт будівлі тягової підстанції № 60 КП «Швидкісний трамвай»
</t>
  </si>
  <si>
    <t xml:space="preserve">2.49. Капітальний ремонт станції швид-кісного трамвая «Майдан праці»
</t>
  </si>
  <si>
    <t xml:space="preserve">2.50. Капітальний ремонт станції швид-кісного трамвая «Мудрьона»
</t>
  </si>
  <si>
    <t>2.51. Капітальний ремонт правого туне-лю швидкісного трамвая від станції «Мудрьона» до станції «Будинок Рад»</t>
  </si>
  <si>
    <t>2.53. Розробка робочого проєкту на капітальний ремонт будівлі тягової пі-дстанції №32 КП «Швидкісний трам-вай»</t>
  </si>
  <si>
    <t>2.54. Розробка робочого проєкту на капітальний ремонт будівлі тягової підстанції №2 КП «Швидкісний трамвай»</t>
  </si>
  <si>
    <t>2.55. Капітальний ремонт будівлі тяго-вої  підстанції  №32  КП «Швидкісний трамвай»</t>
  </si>
  <si>
    <t>2.56. Капітальний ремонт будівлі тяго-вої підстанції №2 КП «Швидкісний тра-мвай»</t>
  </si>
  <si>
    <t>2.58. Заміна пожежного водогону в тунелях швидкісного трамваю.</t>
  </si>
  <si>
    <t>2.57. Розробка робочого проєкту на капітальний ремонт силових трансфо-рматорів тягових підстанцій №№25, 27, 32 КП «Швидкісний трамвай»</t>
  </si>
  <si>
    <t>2.58. Капітальний ремонт силових тра-нсформаторів тягових підстанцій №№1, 2, 17, 25, 26, 27, 32, 51, 52, 53, 54, 55, 56, 57, 58 КП «Швидкісний трамвай»</t>
  </si>
  <si>
    <t>2.60. Заміна обладнання тягових підста-нцій КП «Швидкісний трамвай» (крем-нійових випрямлячів, масляних вимика-чів на вакуумні)</t>
  </si>
  <si>
    <t>2.71. Придбання екскаватора-наван-тажувача</t>
  </si>
  <si>
    <t>2.75. Придбання матеріалів, запас-них частин, автошин, обладнення та інструменту для  виконання тех-нічного обслуговування та поточ-ного ремонту автотракторної техніки</t>
  </si>
  <si>
    <t>2.76 Придбання будівельних та ізоляційних матеріалів</t>
  </si>
  <si>
    <t>2.77 Придбання спецодягу, спец-взуття та рукавиць</t>
  </si>
  <si>
    <t>2.78 Послуги з обов'язкового обслуговування підприємства "Швидкісний трамвай" державними аварійними службами</t>
  </si>
  <si>
    <t>2.79 Послуги електротехнічної лабороторії</t>
  </si>
  <si>
    <t>2.80. Послуги з навчання водіїв трамваю</t>
  </si>
  <si>
    <t>2.81. Послуги з поточного ремонту та відновлення вузлів та деталів трамвайних вагонів</t>
  </si>
  <si>
    <t>2.82 Послуги з обслуговування наземних видів транспорту (Організація впровадження АСООП в міському комунальному пасажирському транспорті м. Кривий Ріг(трамваї) із справлення плати за транспортні послуги з використанням обладнення  АСООП</t>
  </si>
  <si>
    <t>2.73. Капітальний ремонт акумуляторної установки понижувальної підстанції   станції   «Проспект   Металургів»                      КП «Швидкісний трамвай» у Металур-гійному районі м. Кривого Рогу</t>
  </si>
  <si>
    <t>2.74. Капітальний ремонт акумуляторної  установки понижувальної підстанції станції «Зарічна» КП «Швидкісний трамвай»  у   Покровському  районі                                                                                                                                 м. Кривого Рогу</t>
  </si>
  <si>
    <t>2.75. Поповнення статутного капіталу  КП «Швидкісний трамвай» для вико-нання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м. Кривий Ріг Дніпропетровської області»*</t>
  </si>
  <si>
    <t>2.76. Реалізація проєкту модернізації громадського трамвайного транспорту м. Кривого Рогу за фінансування IFC (виконання умов кредитного договору)</t>
  </si>
  <si>
    <t>2.77. Забезпечення надання послуг з перевезення пасажирів електротранспо-ртом (у тому числі: на оплату праці з нарахуваннями на оплату праці, на енергоносії, інші поточні видатки)</t>
  </si>
  <si>
    <t>2.78. Послуга з програмування/запуску комп'ютерної програми  «Термінальне програмне забезпечення Symbol Transport» на транспортний термінал (валідатор)</t>
  </si>
  <si>
    <t>2.79. Розробка робочого проєкту на ка-пітальний ремонт силових трансформа-торів   тягових   підстанцій   №№1,26                                                                                                                                Комунального підприємства «Швидкісний трамвай»</t>
  </si>
  <si>
    <t>2.80. Придбання комплекних трансфор-маторних підстанцій КТП-250/ 10/0,4 кВ та КТП-250/ 10/0,23 кВ</t>
  </si>
  <si>
    <t>2.81.  Придбання мінінавантажувача з навісним обладнанням</t>
  </si>
  <si>
    <t>2.88. Поповнення статутного капіталу на придбання спеціалізованої техніки - автокрану вантажопідйомністю 25 т</t>
  </si>
  <si>
    <t>2.89. Поповнення статутного капіталу на придбання спеціалізованої техніки - автомобіля-самоскида вантажопідйом-ністю 10 т</t>
  </si>
  <si>
    <t>3.1.Фінансове забезпечення комуналь-ного підприємства на заходи, пов'язані з упровадженням автоматизованої системи обліку оплати проїзду</t>
  </si>
  <si>
    <t>3.7. Поповнення статутного капіталу на придбання програмних продуктів з мо-жливістю  інтеграції  із  системою АССОП</t>
  </si>
  <si>
    <t>3.8. Поповнення статутного капіталу на створення системи єдиного контакт-це-нтру</t>
  </si>
  <si>
    <t>3.10. Поповнення статутного капіталу на організацію та стволрення мережі місць зарядок для електромобілей</t>
  </si>
  <si>
    <t xml:space="preserve">Продовження додатка 2 </t>
  </si>
  <si>
    <t>4.2.Облаштування  точок Wi-Fi доступу на маршрутах міського електротран-спорту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</si>
  <si>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6"/>
        <rFont val="Times New Roman"/>
        <family val="1"/>
        <charset val="204"/>
      </rPr>
      <t>Додаток 2</t>
    </r>
  </si>
  <si>
    <t>Додаток 2</t>
  </si>
  <si>
    <t>до рішення виконкому міської ради</t>
  </si>
  <si>
    <t xml:space="preserve">Керуюча справами виконкому                                                          </t>
  </si>
  <si>
    <t>Олена ШОВГЕЛЯ</t>
  </si>
  <si>
    <t>2.13.  Розробка робочого проєкту «Заходи захисту від підтоплення та ліквідації його наслідків  правого перегонного тунелю швидкісного трамвая від станції «Мудрьона» до станції «Будинок Рад» у Саксаганському та Металургійному районах м. Кривий Ріг Дніпропетровської області - капітальний ремонт»</t>
  </si>
  <si>
    <t>2.35. Розробка робочого проєкту на капітальний ремонт будівлі тягової підстанції № 57 КП «Швидкісний трамвай»</t>
  </si>
  <si>
    <t>2.36. Розробка робочого проєкту на капітальний ремонт будівлі тягової підстанції № 59  КП «Швидкісний трамвай»</t>
  </si>
  <si>
    <t>2.37. Розробка  робочого  проєкту на капітальний  ремонт будівлі   тягової підстанції № 60  КП   «Швидкісний трамвай»</t>
  </si>
  <si>
    <t>2.53. Розробка робочого проєкту на капітальний ремонт будівлі тягової підстанції №32 КП «Швидкісний трамвай»</t>
  </si>
  <si>
    <t>2.56. Капітальний ремонт будівлі тягової підстанції №2 КП «Швидкісний трамвай»</t>
  </si>
  <si>
    <t>2.57. Розробка робочого проєкту на капітальний ремонт силових трансформаторів тягових підстанцій №№25, 27, 32 КП «Швидкісний трамвай»</t>
  </si>
  <si>
    <t>2.58. Капітальний ремонт силових трансформаторів тягових підстанцій №№1, 2, 17, 25, 26, 27, 32, 51, 52, 53, 54, 55, 56, 57, 58 КП «Швидкісний трамвай»</t>
  </si>
  <si>
    <t>2.73. Капітальний ремонт акумуляторної установки понижувальної підстанції станції «Проспект Металургів» КП «Швидкісний трамвай» у Металургійному районі м. Кривого Рогу</t>
  </si>
  <si>
    <t>2.75. Поповнення статутного капіталу  КП «Швидкісний трамвай» для виконання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м. Кривий Ріг Дніпропетровської області»*</t>
  </si>
  <si>
    <t>2.79. Розробка робочого проєкту на капітальний ремонт силових трансформаторів   тягових   підстанцій   №№1,26 Комунального підприємства «Швидкісний трамвай»</t>
  </si>
  <si>
    <t>2.114. Розробка робочого проекту «Капітальний ремонт захисної споруди цивільного захисту (цивільної оборони) №14191 КП «Швидкісний трамвай» за адресою: майдан Праці, 1 у Саксаганському районі м.Кривого Рогу Дніпропетровської області», з проведенням технічного обстеження та проходженням експертизи</t>
  </si>
  <si>
    <t>2.116. Розробка робочого проекту «Капітальний ремонт естакади через водосховище КП «Швидкісний трамвай» в Металургійному районі м.Кривого Рогу Дніпропетровської області»</t>
  </si>
  <si>
    <t>2.117. Капітальний ремонт естакади через водосховище 
КП «Швидкісний трамвай» в Металургійному районі м.Кривого Рогу Дніпропетровської області». Будівельно-монтажні роботи</t>
  </si>
  <si>
    <t>2.120. Розробка робочого проекту: «Реконструкція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м.Кривого Рогу  Дніпропетровської області», з проходженням експертизи</t>
  </si>
  <si>
    <t>2.121. 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області, (будівельно-монтажні роботи)</t>
  </si>
  <si>
    <t>2.123. 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м.Кривого Рогу  Дніпропетровської області, (будівельно-монтажні роботи)</t>
  </si>
  <si>
    <t>2.129. Капітальний ремонт силових трансформаторів тягових підстанцій №№ 17, 27 КП «Швидкісний трамвай»</t>
  </si>
  <si>
    <t>2.130. Капітальний ремонт силових трансформаторів тягових підстанцій №№ 2, 25 КП «Швидкісний трамвай»</t>
  </si>
  <si>
    <t>2.131. Капітальний ремонт силових трансформаторів тягових підстанцій №№ 32, 52 КП «Швидкісний трамвай»</t>
  </si>
  <si>
    <t>2.133. Реконструкція цеху технічних оглядів депо №1 
КП «Швидкісний трамвай» у Металургійному районі м.Кривого Рогу Дніпропетровської області»  (з монтажем автоматичної установки для мийки трамваїв). Будівельно-монтажні та пусконала-годжувальні роботи</t>
  </si>
  <si>
    <t>2.134. Розробка робочого проекту «Реконструкція мийного корпусу депо № 2 КП «Швидкісний трамвай» у Саксаганському районі м.Кривого Рогу Дніпропетровської області (з монтажем автоматичної установки для мийки трамваїв)»</t>
  </si>
  <si>
    <t>2.135. Реконструкція мийного корпусу депо № 2 КП «Швидкісний трамвай» у Саксаганському районі м. Кривого Рогу Дніпропетровської області (з монтажем автоматичної установки для мийки трамваїв). Будівельно-монтажні та пусконалагоджувальні роботи</t>
  </si>
  <si>
    <t xml:space="preserve">4.1. «Color City:  «Художній   роспис індустріального міста» (облаштування паркану  тролейбусного   депо  №2 Комунального підприємства «Міський тролейбус»)                                 </t>
  </si>
  <si>
    <t>2.33. Розробка  робочого  проєкту на капітальний ремонт покрівлі головного корпуса  депо  №2 КП «Швидкісний трамвай»</t>
  </si>
  <si>
    <t>2016-2022</t>
  </si>
  <si>
    <t>1.18. Поповнення статутного капіталу для придбання обладнання, матеріалів та  виконання робіт  на об'єкті «Технічне переоснащення розподільчого пункту 6кВ та комірок постійного струму  тягової підстанції № 4   КП «Міський тролейбус», м. Кривий Ріг, Дніпропетровська обл.» (співфінансування згідно з договором з ЄБРР)</t>
  </si>
  <si>
    <t>2.34. Розробка робочого проєкту на капітальний ремонт покрівлі цеху технічних оглядів депо №1  КП «Швидкісний трамвай»</t>
  </si>
  <si>
    <t>2.75. Поповнення статутного капіталу  КП «Швидкісний трамвай» для виконання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
м. Кривий Ріг Дніпропетровської області»*</t>
  </si>
  <si>
    <t>1.44. Реалізація Проєкту модернізації громадського тролейбусного транспорту м. Кривого Рогу за фінансування ЄБРР (виконання умов кредитного договору)</t>
  </si>
  <si>
    <t>2.123. 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області, (будівельно-монтажні роботи)</t>
  </si>
  <si>
    <t>1.19. Поповнення статутного капіталу  для придбання обладнання, матеріалів та виконання робіт  на об'єкті «Технічне переоснащення електрообладнання  тягової  підстанції № 7 КП «Міський тролейбус», 
м. Кривий Ріг, Дніпропетровська обл.»</t>
  </si>
  <si>
    <t>1.21. Поповнення статутного капіталу для придбання обладнання, матеріалів та  виконання робіт  на об'єкті «Технічне переоснащення електрообладнання  тягової  підстанції   №6 КП «Міський тролейбус»,  
м. Кривий Ріг, Дніпропетровська обл.»</t>
  </si>
  <si>
    <t>2.7. Поповнення статутного капіталу на виконання робочого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в Саксаганському районі м. Кривого Рогу», з коригуванням проєктно-кошторисної документації та проходженням експертизи</t>
  </si>
  <si>
    <t>2.16. Придбання запасних частин та матеріалів  для   виконання   капітального ремонту  ділянки  трамвайної колії  по вул. Модрівській в Центрально-Міському районі м. Кривого Рогу в межах СП№56 вузла ДРРЗ до ПК 37+8 переїзду по вул.Українській*</t>
  </si>
  <si>
    <t>2.20. Розробка   робочого проєкту  «Капітальний ремонт станції швидкісного трамвая «Майдан праці» (інв.№423) Комунального підприємства «Швидкісний трамвай» в  Саксаганському районі 
м. Кривого Рогу», з коригуванням проєктно-кошторисної документації  та проходженням експертизи</t>
  </si>
  <si>
    <t>Джерела фінансування </t>
  </si>
  <si>
    <t>Управління транспорту та телекомунікацій виконкому Криворізької міської ради – головний розпорядник,             КП «Міський тролейбус» – одержувач коштів</t>
  </si>
  <si>
    <t>1.17. Придбання комплекту обладнання (електронної/ мікропроцесорної  системи керування тяговим двигуном тролейбуса, тягового асинхронного двигуна, перетворювачів  тощо) для технічного переоснащення систем керування  тролейбусів на системи електронного типу</t>
  </si>
  <si>
    <t>2.23. Розробка  робочого  проєкту «Трамвайні колії  та благоустрій  на 
вул. Соборності в Метарлургійному районі м. Кривого  Рогу (реконструкція)»</t>
  </si>
  <si>
    <t>2.26. Розробка робочого проєкту «Реконструкція трамвайних колій 
«пл. Домнобудівників- Кривий Ріг- Головний» на дільниці між 
вул. Серафимовича та вул. Залізничників у Довгинцівському районі 
м. Кривий Ріг Дніпропетровської області»*</t>
  </si>
  <si>
    <t>2.93. Поповнення статутного капіталу на придбання зварювального агрегату типу «Stanley Robotic» або еквіваленту для зварювання стиків рейок</t>
  </si>
  <si>
    <t>2.94. Поповнення статутного капіталу на придбання верстату рейкошліфувального типу «MPR 4000 Е» або еквіваленту</t>
  </si>
  <si>
    <t>2.95. Поповнення статутного капіталу на придбання спеціалізованої техніки —  навантажувача типу «Bobcat»  або еквіваленту з навісним обладнанням</t>
  </si>
  <si>
    <t>2.96. Поповнення статутного капіталу на придбання спеціалізованої техніки — екскаватора-навантажувача типу «ВОВСАТ В730»  або еквіваленту з навісним обладнанням</t>
  </si>
  <si>
    <t>2.97. Поповнення статутного капіталу на придбання спеціалізованої техніки —  колісного навантажувача із захватом типу «HYUNDAI R180W-9S» з навісним обладнанням або еквіваленту</t>
  </si>
  <si>
    <t>2.98. Поповнення статутного капіталу на придбання спеціалізованої техніки — крана-маніпулятора на шасі «JAC N120» або еквіваленту</t>
  </si>
  <si>
    <t>2.99. Поповнення статутного капіталу на придбання спеціалізованої техніки  — екскаватора на гусеничному ходу типу «Bobcat» або еквіваленту</t>
  </si>
  <si>
    <t>2.91. Поповнення статутного капіталу на придбання насосів типу 
«Д-200-36»  або еквіваленту в комплекті з електродвигунами для встановлення в тунельних спорудах КП «Швидкісний трамвай»</t>
  </si>
  <si>
    <t>2.106. Поповнення статутного капіталу на придбання токарно-гвинторізного верстата типу «С6266С» або еквіваленту</t>
  </si>
  <si>
    <r>
      <t xml:space="preserve">2.103. Поповнення статутного капіталу на придбання шпалопідбивок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ЕШП-Т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</si>
  <si>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t>2.115. Капітальний ремонт захисної споруди цивільного захисту (цивільної оборони) №14191 КП «Швидкісний трамвай» за адресою: майдан Праці, 1 у Саксаганському районі м. Кривого Рогу  Дніпропетровської області. Будівельно-монтажні роботи</t>
  </si>
  <si>
    <t>2.112. Поповнення статутного капіталу на придбання автомобіля вантажопасажирського вантажопідйомністю 1т та пасажиромісткістю не менше 6 осіб</t>
  </si>
  <si>
    <t>2.114. Розробка робочого проєкту «Капітальний ремонт захисної споруди цивільного захисту (цивільної оборони) №14191 КП «Швидкісний трамвай» за адресою: майдан Праці, 1 у Саксаганському районі м. Кривого Рогу Дніпропетровської області» з проведенням технічного обстеження та проходженням експертизи</t>
  </si>
  <si>
    <r>
      <t xml:space="preserve">2.107. Поповнення статутного капіталу на придбання преса гідравлічного підлогового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ОМА 654В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</si>
  <si>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r>
      <t xml:space="preserve">2.108. Поповнення статутного капіталу на придбання зварювального інвертора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Welding Dragon DigiTIG 400P ACDC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</si>
  <si>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r>
      <t xml:space="preserve">2.109. Поповнення статутного капіталу на придбання ультразвукового однониткового рейкового дефектоскопа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УДС2-77</t>
    </r>
    <r>
      <rPr>
        <sz val="10.5"/>
        <rFont val="Calibri"/>
        <family val="2"/>
        <charset val="204"/>
      </rPr>
      <t>»</t>
    </r>
  </si>
  <si>
    <r>
      <t xml:space="preserve">2.110. Поповнення статутного капіталу на придбання електростанції дизельної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АД-4-Т/230-Т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</si>
  <si>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t>2.120. Розробка робочого проекту: «Реконструкція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
м. Кривого Рогу  Дніпропетровської області» з проходженням експертизи</t>
  </si>
  <si>
    <t>2.126. Розробка робочого проєкту «Капітальний ремонт акумуляторної установки понижувальної підстанції станції швидкісного трамвая «Зарічна» у Покровському районі м. Кривого Рогу»</t>
  </si>
  <si>
    <t>2.127. Розробка робочого проєкту «Капітальний ремонт акумуляторної установки понижувальної підстанції станції швидкісного трамвая «Проспект Металургів» у Металургійному районі м. Кривого Рогу»</t>
  </si>
  <si>
    <t>2.128. Розробка проектно-кошторисної документації на реконструкцію понижувальної підстанції станції  швидкісного трамвая «Електрозаводська»</t>
  </si>
  <si>
    <t>2.132. Розробка робочого проєкту «Реконструкція цеху технічних оглядів депо №1 КП «Швидкісний трамвай» у Металургійному районі м.Кривого Рогу Дніпропетровської області» (з монтажем автоматичної установки для мийки трамваїв)</t>
  </si>
  <si>
    <t>2.133. Реконструкція цеху технічних оглядів депо №1 
КП «Швидкісний трамвай» у Металургійному районі м.Кривого Рогу Дніпропетровської області»  (з монтажем автоматичної установки для мийки трамваїв). Будівельно-монтажні та пусконалагоджувальні роботи</t>
  </si>
  <si>
    <t>2.134. Розробка робочого проєкту «Реконструкція мийного корпусу депо 
№ 2 КП «Швидкісний трамвай» у Саксаганському районі 
м. Кривого Рогу Дніпропетровської області» (з монтажем автоматичної установки для мийки трамваїв)</t>
  </si>
  <si>
    <t>2.124. Коригування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у Саксаганському районі  м. Кривого Рогу»</t>
  </si>
  <si>
    <t>5.1. Оптимізація міської маршрутної мережі пасажирського транспорту</t>
  </si>
  <si>
    <t>5.2. Судові витрати та подання позовних заяв до суду</t>
  </si>
  <si>
    <t>2.100. Поповнення статутного капіталу на придбання гільйотини електромеханічної</t>
  </si>
  <si>
    <t>2.118. Розробка робочого проєкту «Реконструкція сходових маршів станції «Зарічна» з монтажем підйомників для маломобільних груп населення» з проходженням експертизи</t>
  </si>
  <si>
    <t>2.117. Капітальний ремонт естакади через водосховище 
КП «Швидкісний трамвай» у Металургійному районі                                                  м. Кривого Рогу Дніпропетровської області». Будівельно-монтажні роботи</t>
  </si>
  <si>
    <t>2.116. Розробка робочого проєкту «Капітальний ремонт естакади через водосховище КП «Швидкісний трамвай» у Металургійному 
районі  м. Кривого Рогу Дніпропетровської області»</t>
  </si>
  <si>
    <t>2.125. 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у Саксаганському районі  м. Кривого Рогу. Будівельно-монтажні роботи</t>
  </si>
  <si>
    <t>2.122. Розробка робочого проєкту «Реконструкція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м.Кривого Рогу  Дніпропетровської області» з проходженням експертизи</t>
  </si>
  <si>
    <t>*Відповідно до рішення міської ради від 28.10.2022 №1515 «Про перейменування об'єктів топоніміки м. Кривого Рогу» вул. Серафимовича перейменовано на                            вул. Гетьмана Івана Мазепи, вул. Модрівську на вул. Прорізну.</t>
  </si>
  <si>
    <t>до рішення міської ради</t>
  </si>
  <si>
    <t xml:space="preserve">Додаток </t>
  </si>
  <si>
    <t>Перелік завдань і заходів  Програми розвитку підприємств міського електро- та автотранспорту 
на 2016 – 2028 роки</t>
  </si>
  <si>
    <t>2.114. Ремонт захисних споруд цивільного захисту, придбання матеріалів, будівельних матеріалів, інвентарю та інструментів для облаштування захисних  споруд цивільного захисту</t>
  </si>
  <si>
    <t>Управління транспорту та телекомунікацій виконкому Криворізької міської ради – головний розпорядник, 
КП «Швидкісний трамвай» – одержувач коштів</t>
  </si>
  <si>
    <t>Департамент фінансів виконкому Криаворізької міської ради – головний розпорядник</t>
  </si>
  <si>
    <t>5.4. Послуги, пов'язані із залученням кредиту від ЄБРР у межах реалізації Проєкту екстреної підтримки ліквідності існуючих клієнтів ЄБРР - комунальних підприємств м. Кривий Ріг з метою пом'якшення впливу війни проти України в рамках "Програми забезпечення стійкості" (банківські послуги та інші)</t>
  </si>
  <si>
    <t xml:space="preserve">  Олена ШОВГЕЛЯ</t>
  </si>
  <si>
    <t>24.05.2024 №629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</si>
</sst>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10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  <font>
      <b/>
      <i/>
      <sz val="10.5"/>
      <color theme="1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Arial Cyr"/>
      <family val="2"/>
      <charset val="204"/>
    </font>
    <font>
      <sz val="12"/>
      <name val="Times New Roman"/>
      <family val="1"/>
      <charset val="204"/>
    </font>
    <font>
      <sz val="10.5"/>
      <color theme="1"/>
      <name val="Arial Cyr"/>
      <family val="2"/>
      <charset val="204"/>
    </font>
    <font>
      <sz val="9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Arial Cyr"/>
      <family val="2"/>
      <charset val="204"/>
    </font>
    <font>
      <b/>
      <i/>
      <sz val="22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indexed="8"/>
      <name val="Calibri"/>
      <family val="2"/>
      <charset val="204"/>
    </font>
    <font>
      <sz val="10.5"/>
      <color indexed="8"/>
      <name val="Times New Roman"/>
      <family val="1"/>
      <charset val="204"/>
    </font>
    <font>
      <i/>
      <sz val="19"/>
      <name val="Times New Roman"/>
      <family val="1"/>
      <charset val="204"/>
    </font>
    <font>
      <i/>
      <sz val="18.5"/>
      <name val="Times New Roman"/>
      <family val="1"/>
      <charset val="204"/>
    </font>
    <font>
      <sz val="10.5"/>
      <name val="Calibri"/>
      <family val="2"/>
      <charset val="204"/>
    </font>
    <font>
      <sz val="18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8"/>
      <color theme="0"/>
      <name val="Times New Roman"/>
      <family val="1"/>
      <charset val="204"/>
    </font>
    <font>
      <i/>
      <sz val="19.5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0.5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i/>
      <sz val="1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0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0" fillId="2" borderId="0" xfId="0" applyNumberFormat="1" applyFont="1" applyFill="1"/>
    <xf numFmtId="0" fontId="0" fillId="2" borderId="0" xfId="0" applyFont="1" applyFill="1"/>
    <xf numFmtId="0" fontId="11" fillId="2" borderId="7" xfId="0" applyFont="1" applyFill="1" applyBorder="1" applyAlignment="1">
      <alignment vertical="top" wrapText="1"/>
    </xf>
    <xf numFmtId="0" fontId="13" fillId="2" borderId="8" xfId="0" applyFont="1" applyFill="1" applyBorder="1" applyAlignment="1">
      <alignment vertical="top" wrapText="1"/>
    </xf>
    <xf numFmtId="4" fontId="11" fillId="2" borderId="6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vertical="top" wrapText="1"/>
    </xf>
    <xf numFmtId="0" fontId="11" fillId="2" borderId="17" xfId="0" applyFont="1" applyFill="1" applyBorder="1" applyAlignment="1">
      <alignment vertical="top" wrapText="1"/>
    </xf>
    <xf numFmtId="0" fontId="13" fillId="2" borderId="18" xfId="0" applyFont="1" applyFill="1" applyBorder="1" applyAlignment="1">
      <alignment vertical="top" wrapText="1"/>
    </xf>
    <xf numFmtId="0" fontId="11" fillId="2" borderId="19" xfId="0" applyNumberFormat="1" applyFont="1" applyFill="1" applyBorder="1" applyAlignment="1">
      <alignment horizontal="left" vertical="top" wrapText="1"/>
    </xf>
    <xf numFmtId="4" fontId="11" fillId="2" borderId="20" xfId="0" applyNumberFormat="1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top" wrapText="1"/>
    </xf>
    <xf numFmtId="4" fontId="11" fillId="2" borderId="6" xfId="0" applyNumberFormat="1" applyFont="1" applyFill="1" applyBorder="1" applyAlignment="1">
      <alignment horizontal="left" vertical="top" wrapText="1"/>
    </xf>
    <xf numFmtId="0" fontId="11" fillId="2" borderId="22" xfId="0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left" vertical="top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4" fontId="15" fillId="2" borderId="10" xfId="0" applyNumberFormat="1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vertical="top" wrapText="1"/>
    </xf>
    <xf numFmtId="4" fontId="11" fillId="2" borderId="18" xfId="0" applyNumberFormat="1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center" vertical="center" wrapText="1"/>
    </xf>
    <xf numFmtId="4" fontId="14" fillId="2" borderId="18" xfId="0" applyNumberFormat="1" applyFont="1" applyFill="1" applyBorder="1" applyAlignment="1">
      <alignment horizontal="center" vertical="center" wrapText="1"/>
    </xf>
    <xf numFmtId="4" fontId="14" fillId="2" borderId="18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4" fontId="11" fillId="2" borderId="26" xfId="0" applyNumberFormat="1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left" vertical="top" wrapText="1"/>
    </xf>
    <xf numFmtId="4" fontId="11" fillId="2" borderId="11" xfId="0" applyNumberFormat="1" applyFont="1" applyFill="1" applyBorder="1" applyAlignment="1">
      <alignment horizontal="left" vertical="top" wrapText="1"/>
    </xf>
    <xf numFmtId="4" fontId="11" fillId="2" borderId="13" xfId="0" applyNumberFormat="1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vertical="top" wrapText="1"/>
    </xf>
    <xf numFmtId="4" fontId="11" fillId="2" borderId="29" xfId="0" applyNumberFormat="1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center" vertical="top" wrapText="1"/>
    </xf>
    <xf numFmtId="4" fontId="15" fillId="2" borderId="6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top" wrapText="1"/>
    </xf>
    <xf numFmtId="0" fontId="11" fillId="2" borderId="30" xfId="0" applyFont="1" applyFill="1" applyBorder="1" applyAlignment="1">
      <alignment horizontal="center" vertical="center" wrapText="1"/>
    </xf>
    <xf numFmtId="4" fontId="11" fillId="2" borderId="31" xfId="0" applyNumberFormat="1" applyFont="1" applyFill="1" applyBorder="1" applyAlignment="1">
      <alignment horizontal="left" vertical="top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top" wrapText="1"/>
    </xf>
    <xf numFmtId="4" fontId="11" fillId="2" borderId="33" xfId="0" applyNumberFormat="1" applyFont="1" applyFill="1" applyBorder="1" applyAlignment="1">
      <alignment horizontal="left" vertical="top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vertical="top" wrapText="1"/>
    </xf>
    <xf numFmtId="4" fontId="16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40" xfId="0" applyFont="1" applyFill="1" applyBorder="1" applyAlignment="1">
      <alignment horizontal="left" vertical="top" wrapText="1"/>
    </xf>
    <xf numFmtId="0" fontId="13" fillId="2" borderId="41" xfId="0" applyFont="1" applyFill="1" applyBorder="1" applyAlignment="1">
      <alignment vertical="top" wrapText="1"/>
    </xf>
    <xf numFmtId="0" fontId="11" fillId="2" borderId="42" xfId="0" applyFont="1" applyFill="1" applyBorder="1" applyAlignment="1">
      <alignment vertical="top" wrapText="1"/>
    </xf>
    <xf numFmtId="0" fontId="13" fillId="2" borderId="31" xfId="0" applyFont="1" applyFill="1" applyBorder="1" applyAlignment="1">
      <alignment vertical="top" wrapText="1"/>
    </xf>
    <xf numFmtId="0" fontId="11" fillId="2" borderId="36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vertical="top" wrapText="1"/>
    </xf>
    <xf numFmtId="0" fontId="11" fillId="2" borderId="43" xfId="0" applyFont="1" applyFill="1" applyBorder="1" applyAlignment="1">
      <alignment horizontal="left" vertical="top" wrapText="1"/>
    </xf>
    <xf numFmtId="0" fontId="11" fillId="2" borderId="42" xfId="0" applyFont="1" applyFill="1" applyBorder="1" applyAlignment="1">
      <alignment horizontal="center" vertical="top" wrapText="1"/>
    </xf>
    <xf numFmtId="0" fontId="13" fillId="2" borderId="42" xfId="0" applyFont="1" applyFill="1" applyBorder="1" applyAlignment="1">
      <alignment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vertical="top" wrapText="1"/>
    </xf>
    <xf numFmtId="0" fontId="0" fillId="2" borderId="32" xfId="0" applyFont="1" applyFill="1" applyBorder="1" applyAlignment="1">
      <alignment vertical="top" wrapText="1"/>
    </xf>
    <xf numFmtId="0" fontId="0" fillId="2" borderId="10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vertical="top" wrapText="1"/>
    </xf>
    <xf numFmtId="0" fontId="11" fillId="2" borderId="44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top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8" fillId="2" borderId="10" xfId="0" applyFont="1" applyFill="1" applyBorder="1" applyAlignment="1">
      <alignment vertical="top" wrapText="1"/>
    </xf>
    <xf numFmtId="0" fontId="11" fillId="2" borderId="27" xfId="0" applyFont="1" applyFill="1" applyBorder="1" applyAlignment="1">
      <alignment horizontal="center" vertical="top" wrapText="1"/>
    </xf>
    <xf numFmtId="0" fontId="11" fillId="2" borderId="45" xfId="0" applyFont="1" applyFill="1" applyBorder="1" applyAlignment="1">
      <alignment horizontal="center" vertical="top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vertical="top" wrapText="1"/>
    </xf>
    <xf numFmtId="0" fontId="11" fillId="2" borderId="47" xfId="0" applyFont="1" applyFill="1" applyBorder="1" applyAlignment="1">
      <alignment horizontal="left" vertical="top" wrapText="1"/>
    </xf>
    <xf numFmtId="0" fontId="11" fillId="3" borderId="48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left" vertical="top" wrapText="1"/>
    </xf>
    <xf numFmtId="0" fontId="11" fillId="3" borderId="52" xfId="0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12" fillId="2" borderId="39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top" wrapText="1"/>
    </xf>
    <xf numFmtId="16" fontId="2" fillId="2" borderId="19" xfId="0" applyNumberFormat="1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16" fontId="2" fillId="2" borderId="58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wrapText="1"/>
    </xf>
    <xf numFmtId="0" fontId="2" fillId="2" borderId="59" xfId="0" applyFont="1" applyFill="1" applyBorder="1" applyAlignment="1">
      <alignment horizontal="left" vertical="top" wrapText="1"/>
    </xf>
    <xf numFmtId="0" fontId="2" fillId="2" borderId="57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left" vertical="top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left" vertical="top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vertical="top" wrapText="1"/>
    </xf>
    <xf numFmtId="0" fontId="2" fillId="2" borderId="65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2" fillId="2" borderId="66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6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top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center" vertical="top" wrapText="1"/>
    </xf>
    <xf numFmtId="0" fontId="11" fillId="2" borderId="45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center" vertical="top" wrapText="1"/>
    </xf>
    <xf numFmtId="0" fontId="21" fillId="2" borderId="10" xfId="0" applyFont="1" applyFill="1" applyBorder="1" applyAlignment="1">
      <alignment vertical="top" wrapText="1"/>
    </xf>
    <xf numFmtId="0" fontId="2" fillId="2" borderId="55" xfId="0" applyFont="1" applyFill="1" applyBorder="1" applyAlignment="1">
      <alignment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/>
    </xf>
    <xf numFmtId="0" fontId="2" fillId="2" borderId="69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/>
    <xf numFmtId="0" fontId="1" fillId="2" borderId="10" xfId="0" applyFont="1" applyFill="1" applyBorder="1" applyAlignment="1">
      <alignment wrapText="1"/>
    </xf>
    <xf numFmtId="0" fontId="2" fillId="2" borderId="29" xfId="0" applyFont="1" applyFill="1" applyBorder="1" applyAlignment="1">
      <alignment vertical="top" wrapText="1"/>
    </xf>
    <xf numFmtId="0" fontId="2" fillId="2" borderId="70" xfId="0" applyFont="1" applyFill="1" applyBorder="1" applyAlignment="1">
      <alignment horizontal="center" vertical="center" wrapText="1"/>
    </xf>
    <xf numFmtId="0" fontId="22" fillId="2" borderId="7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/>
    <xf numFmtId="0" fontId="1" fillId="2" borderId="18" xfId="0" applyFont="1" applyFill="1" applyBorder="1" applyAlignment="1">
      <alignment wrapText="1"/>
    </xf>
    <xf numFmtId="4" fontId="10" fillId="2" borderId="6" xfId="0" applyNumberFormat="1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top"/>
    </xf>
    <xf numFmtId="0" fontId="12" fillId="2" borderId="71" xfId="0" applyFont="1" applyFill="1" applyBorder="1" applyAlignment="1">
      <alignment vertical="top" wrapText="1"/>
    </xf>
    <xf numFmtId="0" fontId="2" fillId="2" borderId="71" xfId="0" applyFont="1" applyFill="1" applyBorder="1" applyAlignment="1">
      <alignment vertical="top" wrapText="1"/>
    </xf>
    <xf numFmtId="0" fontId="2" fillId="2" borderId="71" xfId="0" applyFont="1" applyFill="1" applyBorder="1" applyAlignment="1">
      <alignment horizontal="center" vertical="top" wrapText="1"/>
    </xf>
    <xf numFmtId="0" fontId="22" fillId="2" borderId="7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4" fontId="11" fillId="2" borderId="4" xfId="0" applyNumberFormat="1" applyFont="1" applyFill="1" applyBorder="1" applyAlignment="1">
      <alignment horizontal="left" vertical="top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top" wrapText="1"/>
    </xf>
    <xf numFmtId="0" fontId="19" fillId="2" borderId="26" xfId="0" applyFont="1" applyFill="1" applyBorder="1" applyAlignment="1">
      <alignment vertical="top" wrapText="1"/>
    </xf>
    <xf numFmtId="0" fontId="19" fillId="2" borderId="19" xfId="0" applyFont="1" applyFill="1" applyBorder="1" applyAlignment="1">
      <alignment vertical="top" wrapText="1"/>
    </xf>
    <xf numFmtId="4" fontId="12" fillId="2" borderId="6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72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vertical="top" wrapText="1"/>
    </xf>
    <xf numFmtId="0" fontId="19" fillId="2" borderId="72" xfId="0" applyFont="1" applyFill="1" applyBorder="1" applyAlignment="1">
      <alignment vertical="top" wrapText="1"/>
    </xf>
    <xf numFmtId="0" fontId="2" fillId="2" borderId="72" xfId="0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vertical="center"/>
    </xf>
    <xf numFmtId="4" fontId="12" fillId="2" borderId="0" xfId="0" applyNumberFormat="1" applyFont="1" applyFill="1" applyBorder="1" applyAlignment="1">
      <alignment horizontal="center" vertical="center" wrapText="1"/>
    </xf>
    <xf numFmtId="0" fontId="23" fillId="2" borderId="0" xfId="0" applyFont="1" applyFill="1"/>
    <xf numFmtId="0" fontId="11" fillId="2" borderId="0" xfId="0" applyFont="1" applyFill="1"/>
    <xf numFmtId="4" fontId="11" fillId="3" borderId="6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horizontal="center" vertical="center"/>
    </xf>
    <xf numFmtId="4" fontId="16" fillId="2" borderId="6" xfId="0" applyNumberFormat="1" applyFont="1" applyFill="1" applyBorder="1" applyAlignment="1">
      <alignment vertical="center"/>
    </xf>
    <xf numFmtId="0" fontId="5" fillId="4" borderId="0" xfId="0" applyFont="1" applyFill="1" applyBorder="1" applyAlignment="1"/>
    <xf numFmtId="0" fontId="10" fillId="2" borderId="7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70" xfId="0" applyFont="1" applyFill="1" applyBorder="1" applyAlignment="1">
      <alignment horizontal="left" vertical="top" wrapText="1"/>
    </xf>
    <xf numFmtId="4" fontId="2" fillId="2" borderId="70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top" wrapText="1"/>
    </xf>
    <xf numFmtId="4" fontId="11" fillId="2" borderId="70" xfId="0" applyNumberFormat="1" applyFont="1" applyFill="1" applyBorder="1" applyAlignment="1">
      <alignment horizontal="left" vertical="top" wrapText="1"/>
    </xf>
    <xf numFmtId="0" fontId="11" fillId="2" borderId="7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top" wrapText="1"/>
    </xf>
    <xf numFmtId="4" fontId="2" fillId="2" borderId="70" xfId="0" applyNumberFormat="1" applyFont="1" applyFill="1" applyBorder="1" applyAlignment="1">
      <alignment horizontal="left" vertical="top" wrapText="1"/>
    </xf>
    <xf numFmtId="4" fontId="2" fillId="2" borderId="70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12" fillId="2" borderId="73" xfId="0" applyFont="1" applyFill="1" applyBorder="1" applyAlignment="1">
      <alignment vertical="top" wrapText="1"/>
    </xf>
    <xf numFmtId="4" fontId="2" fillId="2" borderId="71" xfId="0" applyNumberFormat="1" applyFont="1" applyFill="1" applyBorder="1" applyAlignment="1">
      <alignment horizontal="left" vertical="top" wrapText="1"/>
    </xf>
    <xf numFmtId="0" fontId="2" fillId="2" borderId="7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top" wrapText="1"/>
    </xf>
    <xf numFmtId="0" fontId="10" fillId="2" borderId="51" xfId="0" applyFont="1" applyFill="1" applyBorder="1" applyAlignment="1">
      <alignment horizontal="center" vertical="center" wrapText="1"/>
    </xf>
    <xf numFmtId="0" fontId="10" fillId="2" borderId="7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vertical="top" wrapText="1"/>
    </xf>
    <xf numFmtId="4" fontId="2" fillId="2" borderId="29" xfId="0" applyNumberFormat="1" applyFont="1" applyFill="1" applyBorder="1" applyAlignment="1">
      <alignment vertical="top" wrapText="1"/>
    </xf>
    <xf numFmtId="0" fontId="12" fillId="2" borderId="18" xfId="0" applyFont="1" applyFill="1" applyBorder="1" applyAlignment="1">
      <alignment vertical="top" wrapText="1"/>
    </xf>
    <xf numFmtId="4" fontId="26" fillId="2" borderId="64" xfId="0" applyNumberFormat="1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vertical="top" wrapText="1"/>
    </xf>
    <xf numFmtId="0" fontId="2" fillId="2" borderId="75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29" xfId="0" applyNumberFormat="1" applyFont="1" applyFill="1" applyBorder="1" applyAlignment="1">
      <alignment horizontal="left" vertical="top" wrapText="1"/>
    </xf>
    <xf numFmtId="4" fontId="2" fillId="2" borderId="64" xfId="0" applyNumberFormat="1" applyFont="1" applyFill="1" applyBorder="1" applyAlignment="1">
      <alignment horizontal="left" vertical="top" wrapText="1"/>
    </xf>
    <xf numFmtId="0" fontId="10" fillId="2" borderId="7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left" vertical="top" wrapText="1"/>
    </xf>
    <xf numFmtId="0" fontId="2" fillId="2" borderId="76" xfId="0" applyFont="1" applyFill="1" applyBorder="1" applyAlignment="1">
      <alignment vertical="top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2" fillId="2" borderId="70" xfId="0" applyNumberFormat="1" applyFont="1" applyFill="1" applyBorder="1" applyAlignment="1">
      <alignment horizontal="left" vertical="top" wrapText="1"/>
    </xf>
    <xf numFmtId="4" fontId="26" fillId="2" borderId="6" xfId="0" applyNumberFormat="1" applyFont="1" applyFill="1" applyBorder="1" applyAlignment="1">
      <alignment horizontal="left" vertical="top" wrapText="1"/>
    </xf>
    <xf numFmtId="4" fontId="2" fillId="5" borderId="70" xfId="0" applyNumberFormat="1" applyFont="1" applyFill="1" applyBorder="1" applyAlignment="1">
      <alignment horizontal="center" vertical="center" wrapText="1"/>
    </xf>
    <xf numFmtId="4" fontId="2" fillId="5" borderId="70" xfId="0" applyNumberFormat="1" applyFont="1" applyFill="1" applyBorder="1" applyAlignment="1">
      <alignment horizontal="center" vertical="center"/>
    </xf>
    <xf numFmtId="4" fontId="26" fillId="2" borderId="29" xfId="0" applyNumberFormat="1" applyFont="1" applyFill="1" applyBorder="1" applyAlignment="1">
      <alignment horizontal="center" vertical="center" wrapText="1"/>
    </xf>
    <xf numFmtId="4" fontId="26" fillId="2" borderId="70" xfId="0" applyNumberFormat="1" applyFont="1" applyFill="1" applyBorder="1" applyAlignment="1">
      <alignment horizontal="center" vertical="center" wrapText="1"/>
    </xf>
    <xf numFmtId="4" fontId="26" fillId="2" borderId="70" xfId="0" applyNumberFormat="1" applyFont="1" applyFill="1" applyBorder="1" applyAlignment="1">
      <alignment horizontal="center" vertical="center"/>
    </xf>
    <xf numFmtId="4" fontId="22" fillId="2" borderId="10" xfId="0" applyNumberFormat="1" applyFont="1" applyFill="1" applyBorder="1" applyAlignment="1">
      <alignment horizontal="left" vertical="center" wrapText="1"/>
    </xf>
    <xf numFmtId="4" fontId="26" fillId="2" borderId="33" xfId="0" applyNumberFormat="1" applyFont="1" applyFill="1" applyBorder="1" applyAlignment="1">
      <alignment horizontal="center" vertical="center" wrapText="1"/>
    </xf>
    <xf numFmtId="4" fontId="26" fillId="2" borderId="2" xfId="0" applyNumberFormat="1" applyFont="1" applyFill="1" applyBorder="1" applyAlignment="1">
      <alignment horizontal="center" vertical="center" wrapText="1"/>
    </xf>
    <xf numFmtId="4" fontId="26" fillId="2" borderId="2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top" wrapText="1"/>
    </xf>
    <xf numFmtId="0" fontId="12" fillId="2" borderId="25" xfId="0" applyFont="1" applyFill="1" applyBorder="1" applyAlignment="1">
      <alignment vertical="top" wrapText="1"/>
    </xf>
    <xf numFmtId="0" fontId="2" fillId="2" borderId="64" xfId="0" applyFont="1" applyFill="1" applyBorder="1" applyAlignment="1">
      <alignment horizontal="center" vertical="center" wrapText="1"/>
    </xf>
    <xf numFmtId="4" fontId="2" fillId="2" borderId="7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vertical="top" wrapText="1"/>
    </xf>
    <xf numFmtId="4" fontId="15" fillId="2" borderId="70" xfId="0" applyNumberFormat="1" applyFont="1" applyFill="1" applyBorder="1" applyAlignment="1">
      <alignment horizontal="center" vertical="center" wrapText="1"/>
    </xf>
    <xf numFmtId="4" fontId="22" fillId="2" borderId="70" xfId="0" applyNumberFormat="1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left" vertical="center" wrapText="1"/>
    </xf>
    <xf numFmtId="0" fontId="19" fillId="2" borderId="7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vertical="top" wrapText="1"/>
    </xf>
    <xf numFmtId="4" fontId="10" fillId="2" borderId="7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64" xfId="0" applyFont="1" applyFill="1" applyBorder="1" applyAlignment="1">
      <alignment horizontal="center" vertical="top" wrapText="1"/>
    </xf>
    <xf numFmtId="0" fontId="10" fillId="2" borderId="7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left" vertical="top" wrapText="1"/>
    </xf>
    <xf numFmtId="0" fontId="12" fillId="2" borderId="41" xfId="0" applyFont="1" applyFill="1" applyBorder="1" applyAlignment="1">
      <alignment vertical="top" wrapText="1"/>
    </xf>
    <xf numFmtId="0" fontId="2" fillId="2" borderId="42" xfId="0" applyFont="1" applyFill="1" applyBorder="1" applyAlignment="1">
      <alignment vertical="top" wrapText="1"/>
    </xf>
    <xf numFmtId="0" fontId="12" fillId="2" borderId="31" xfId="0" applyFont="1" applyFill="1" applyBorder="1" applyAlignment="1">
      <alignment vertical="top" wrapText="1"/>
    </xf>
    <xf numFmtId="0" fontId="2" fillId="2" borderId="70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center" vertical="top" wrapText="1"/>
    </xf>
    <xf numFmtId="0" fontId="12" fillId="2" borderId="69" xfId="0" applyFont="1" applyFill="1" applyBorder="1" applyAlignment="1">
      <alignment vertical="top" wrapText="1"/>
    </xf>
    <xf numFmtId="4" fontId="2" fillId="2" borderId="71" xfId="0" applyNumberFormat="1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top" wrapText="1"/>
    </xf>
    <xf numFmtId="0" fontId="12" fillId="2" borderId="9" xfId="0" applyFont="1" applyFill="1" applyBorder="1" applyAlignment="1">
      <alignment vertical="top" wrapText="1"/>
    </xf>
    <xf numFmtId="0" fontId="2" fillId="2" borderId="42" xfId="0" applyFont="1" applyFill="1" applyBorder="1" applyAlignment="1">
      <alignment horizontal="center" vertical="top" wrapText="1"/>
    </xf>
    <xf numFmtId="0" fontId="12" fillId="2" borderId="42" xfId="0" applyFont="1" applyFill="1" applyBorder="1" applyAlignment="1">
      <alignment vertical="top" wrapText="1"/>
    </xf>
    <xf numFmtId="4" fontId="2" fillId="2" borderId="70" xfId="0" applyNumberFormat="1" applyFont="1" applyFill="1" applyBorder="1" applyAlignment="1">
      <alignment horizontal="left" vertical="center" wrapText="1"/>
    </xf>
    <xf numFmtId="4" fontId="2" fillId="2" borderId="64" xfId="0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4" fontId="2" fillId="2" borderId="33" xfId="0" applyNumberFormat="1" applyFont="1" applyFill="1" applyBorder="1" applyAlignment="1">
      <alignment horizontal="left" vertical="top" wrapText="1"/>
    </xf>
    <xf numFmtId="0" fontId="2" fillId="2" borderId="4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top" wrapText="1"/>
    </xf>
    <xf numFmtId="0" fontId="26" fillId="2" borderId="70" xfId="0" applyFont="1" applyFill="1" applyBorder="1" applyAlignment="1">
      <alignment vertical="top" wrapText="1"/>
    </xf>
    <xf numFmtId="0" fontId="26" fillId="2" borderId="33" xfId="0" applyFont="1" applyFill="1" applyBorder="1" applyAlignment="1">
      <alignment vertical="top" wrapText="1"/>
    </xf>
    <xf numFmtId="0" fontId="26" fillId="2" borderId="59" xfId="0" applyFont="1" applyFill="1" applyBorder="1" applyAlignment="1">
      <alignment vertical="top" wrapText="1"/>
    </xf>
    <xf numFmtId="0" fontId="1" fillId="2" borderId="76" xfId="0" applyFont="1" applyFill="1" applyBorder="1" applyAlignment="1">
      <alignment horizontal="center" vertical="top" wrapText="1"/>
    </xf>
    <xf numFmtId="0" fontId="1" fillId="2" borderId="76" xfId="0" applyFont="1" applyFill="1" applyBorder="1" applyAlignment="1">
      <alignment vertical="top" wrapText="1"/>
    </xf>
    <xf numFmtId="0" fontId="2" fillId="2" borderId="59" xfId="0" applyFont="1" applyFill="1" applyBorder="1" applyAlignment="1">
      <alignment vertical="top" wrapText="1"/>
    </xf>
    <xf numFmtId="4" fontId="2" fillId="2" borderId="59" xfId="0" applyNumberFormat="1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4" fontId="2" fillId="2" borderId="29" xfId="0" applyNumberFormat="1" applyFont="1" applyFill="1" applyBorder="1" applyAlignment="1">
      <alignment horizontal="center" vertical="center"/>
    </xf>
    <xf numFmtId="4" fontId="2" fillId="2" borderId="79" xfId="0" applyNumberFormat="1" applyFont="1" applyFill="1" applyBorder="1" applyAlignment="1">
      <alignment horizontal="left" vertical="top" wrapText="1"/>
    </xf>
    <xf numFmtId="0" fontId="2" fillId="2" borderId="76" xfId="0" applyFont="1" applyFill="1" applyBorder="1" applyAlignment="1">
      <alignment horizontal="center" vertical="top" wrapText="1"/>
    </xf>
    <xf numFmtId="4" fontId="2" fillId="2" borderId="33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4" fontId="10" fillId="2" borderId="70" xfId="0" applyNumberFormat="1" applyFont="1" applyFill="1" applyBorder="1" applyAlignment="1">
      <alignment vertical="center"/>
    </xf>
    <xf numFmtId="0" fontId="12" fillId="2" borderId="80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16" fontId="2" fillId="2" borderId="33" xfId="0" applyNumberFormat="1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horizontal="center" wrapText="1"/>
    </xf>
    <xf numFmtId="0" fontId="12" fillId="2" borderId="76" xfId="0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center" wrapText="1"/>
    </xf>
    <xf numFmtId="4" fontId="11" fillId="2" borderId="70" xfId="0" applyNumberFormat="1" applyFont="1" applyFill="1" applyBorder="1" applyAlignment="1">
      <alignment horizontal="center" vertical="center"/>
    </xf>
    <xf numFmtId="4" fontId="11" fillId="2" borderId="70" xfId="0" applyNumberFormat="1" applyFont="1" applyFill="1" applyBorder="1" applyAlignment="1">
      <alignment horizontal="center" vertical="center" wrapText="1"/>
    </xf>
    <xf numFmtId="0" fontId="11" fillId="2" borderId="76" xfId="0" applyFont="1" applyFill="1" applyBorder="1" applyAlignment="1">
      <alignment horizontal="left" vertical="top" wrapText="1"/>
    </xf>
    <xf numFmtId="0" fontId="2" fillId="2" borderId="67" xfId="0" applyFont="1" applyFill="1" applyBorder="1" applyAlignment="1">
      <alignment vertical="center" wrapText="1"/>
    </xf>
    <xf numFmtId="0" fontId="2" fillId="2" borderId="59" xfId="0" applyFont="1" applyFill="1" applyBorder="1" applyAlignment="1">
      <alignment horizontal="center" vertical="center" wrapText="1"/>
    </xf>
    <xf numFmtId="4" fontId="10" fillId="2" borderId="70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4" fontId="10" fillId="2" borderId="70" xfId="0" applyNumberFormat="1" applyFont="1" applyFill="1" applyBorder="1" applyAlignment="1">
      <alignment horizontal="center" vertical="center" wrapText="1"/>
    </xf>
    <xf numFmtId="4" fontId="12" fillId="2" borderId="70" xfId="0" applyNumberFormat="1" applyFont="1" applyFill="1" applyBorder="1" applyAlignment="1">
      <alignment horizontal="center" vertical="center"/>
    </xf>
    <xf numFmtId="4" fontId="12" fillId="2" borderId="72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/>
    <xf numFmtId="0" fontId="24" fillId="2" borderId="0" xfId="0" applyFont="1" applyFill="1"/>
    <xf numFmtId="0" fontId="11" fillId="2" borderId="8" xfId="0" applyFont="1" applyFill="1" applyBorder="1" applyAlignment="1">
      <alignment vertical="top" wrapText="1"/>
    </xf>
    <xf numFmtId="0" fontId="13" fillId="2" borderId="32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 wrapText="1"/>
    </xf>
    <xf numFmtId="0" fontId="13" fillId="2" borderId="81" xfId="0" applyFont="1" applyFill="1" applyBorder="1" applyAlignment="1">
      <alignment vertical="top" wrapText="1"/>
    </xf>
    <xf numFmtId="0" fontId="13" fillId="2" borderId="69" xfId="0" applyFont="1" applyFill="1" applyBorder="1" applyAlignment="1">
      <alignment vertical="top" wrapText="1"/>
    </xf>
    <xf numFmtId="0" fontId="12" fillId="2" borderId="32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horizontal="center" vertical="top" wrapText="1"/>
    </xf>
    <xf numFmtId="0" fontId="12" fillId="2" borderId="82" xfId="0" applyFont="1" applyFill="1" applyBorder="1" applyAlignment="1">
      <alignment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82" xfId="0" applyFont="1" applyFill="1" applyBorder="1" applyAlignment="1">
      <alignment vertical="top" wrapText="1"/>
    </xf>
    <xf numFmtId="0" fontId="0" fillId="2" borderId="12" xfId="0" applyFont="1" applyFill="1" applyBorder="1" applyAlignment="1">
      <alignment horizontal="center" vertical="top" wrapText="1"/>
    </xf>
    <xf numFmtId="0" fontId="0" fillId="2" borderId="18" xfId="0" applyFont="1" applyFill="1" applyBorder="1" applyAlignment="1">
      <alignment vertical="top" wrapText="1"/>
    </xf>
    <xf numFmtId="0" fontId="0" fillId="2" borderId="18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0" fontId="5" fillId="2" borderId="0" xfId="0" applyFont="1" applyFill="1" applyBorder="1" applyAlignment="1"/>
    <xf numFmtId="0" fontId="12" fillId="2" borderId="7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 vertical="center" wrapText="1"/>
    </xf>
    <xf numFmtId="0" fontId="11" fillId="2" borderId="70" xfId="0" applyFont="1" applyFill="1" applyBorder="1" applyAlignment="1">
      <alignment vertical="top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vertical="top" wrapText="1"/>
    </xf>
    <xf numFmtId="0" fontId="11" fillId="2" borderId="83" xfId="0" applyFont="1" applyFill="1" applyBorder="1" applyAlignment="1">
      <alignment vertical="top" wrapText="1"/>
    </xf>
    <xf numFmtId="0" fontId="11" fillId="2" borderId="83" xfId="0" applyFont="1" applyFill="1" applyBorder="1" applyAlignment="1">
      <alignment horizontal="center" vertical="center" wrapText="1"/>
    </xf>
    <xf numFmtId="0" fontId="11" fillId="2" borderId="84" xfId="0" applyFont="1" applyFill="1" applyBorder="1" applyAlignment="1">
      <alignment horizontal="center" vertical="center" wrapText="1"/>
    </xf>
    <xf numFmtId="0" fontId="11" fillId="2" borderId="85" xfId="0" applyNumberFormat="1" applyFont="1" applyFill="1" applyBorder="1" applyAlignment="1">
      <alignment horizontal="left" vertical="top" wrapText="1"/>
    </xf>
    <xf numFmtId="4" fontId="11" fillId="2" borderId="64" xfId="0" applyNumberFormat="1" applyFont="1" applyFill="1" applyBorder="1" applyAlignment="1">
      <alignment horizontal="left" vertical="top" wrapText="1"/>
    </xf>
    <xf numFmtId="0" fontId="11" fillId="2" borderId="61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4" fontId="11" fillId="2" borderId="83" xfId="0" applyNumberFormat="1" applyFont="1" applyFill="1" applyBorder="1" applyAlignment="1">
      <alignment horizontal="left" vertical="top" wrapText="1"/>
    </xf>
    <xf numFmtId="4" fontId="11" fillId="2" borderId="86" xfId="0" applyNumberFormat="1" applyFont="1" applyFill="1" applyBorder="1" applyAlignment="1">
      <alignment horizontal="left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2" borderId="81" xfId="0" applyFont="1" applyFill="1" applyBorder="1" applyAlignment="1">
      <alignment horizontal="center" vertical="center" wrapText="1"/>
    </xf>
    <xf numFmtId="4" fontId="11" fillId="2" borderId="85" xfId="0" applyNumberFormat="1" applyFont="1" applyFill="1" applyBorder="1" applyAlignment="1">
      <alignment horizontal="left" vertical="top" wrapText="1"/>
    </xf>
    <xf numFmtId="0" fontId="11" fillId="2" borderId="86" xfId="0" applyFont="1" applyFill="1" applyBorder="1" applyAlignment="1">
      <alignment horizontal="center" vertical="center" wrapText="1"/>
    </xf>
    <xf numFmtId="4" fontId="11" fillId="2" borderId="71" xfId="0" applyNumberFormat="1" applyFont="1" applyFill="1" applyBorder="1" applyAlignment="1">
      <alignment horizontal="left" vertical="top" wrapText="1"/>
    </xf>
    <xf numFmtId="4" fontId="11" fillId="2" borderId="65" xfId="0" applyNumberFormat="1" applyFont="1" applyFill="1" applyBorder="1" applyAlignment="1">
      <alignment horizontal="left" vertical="top" wrapText="1"/>
    </xf>
    <xf numFmtId="0" fontId="11" fillId="2" borderId="62" xfId="0" applyFont="1" applyFill="1" applyBorder="1" applyAlignment="1">
      <alignment horizontal="center" vertical="center" wrapText="1"/>
    </xf>
    <xf numFmtId="0" fontId="11" fillId="2" borderId="87" xfId="0" applyFont="1" applyFill="1" applyBorder="1" applyAlignment="1">
      <alignment horizontal="center" vertical="center" wrapText="1"/>
    </xf>
    <xf numFmtId="4" fontId="11" fillId="2" borderId="58" xfId="0" applyNumberFormat="1" applyFont="1" applyFill="1" applyBorder="1" applyAlignment="1">
      <alignment horizontal="left" vertical="top" wrapText="1"/>
    </xf>
    <xf numFmtId="0" fontId="11" fillId="2" borderId="88" xfId="0" applyFont="1" applyFill="1" applyBorder="1" applyAlignment="1">
      <alignment horizontal="left" vertical="center" wrapText="1"/>
    </xf>
    <xf numFmtId="0" fontId="17" fillId="2" borderId="89" xfId="0" applyFont="1" applyFill="1" applyBorder="1" applyAlignment="1">
      <alignment horizontal="center" vertical="center" wrapText="1"/>
    </xf>
    <xf numFmtId="0" fontId="11" fillId="2" borderId="90" xfId="0" applyFont="1" applyFill="1" applyBorder="1" applyAlignment="1">
      <alignment horizontal="center" vertical="center" wrapText="1"/>
    </xf>
    <xf numFmtId="0" fontId="11" fillId="2" borderId="89" xfId="0" applyFont="1" applyFill="1" applyBorder="1" applyAlignment="1">
      <alignment horizontal="center" vertical="center" wrapText="1"/>
    </xf>
    <xf numFmtId="0" fontId="11" fillId="2" borderId="92" xfId="0" applyFont="1" applyFill="1" applyBorder="1" applyAlignment="1">
      <alignment horizontal="left" vertical="top" wrapText="1"/>
    </xf>
    <xf numFmtId="0" fontId="11" fillId="2" borderId="63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>
      <alignment horizontal="center" vertical="center" wrapText="1"/>
    </xf>
    <xf numFmtId="0" fontId="11" fillId="2" borderId="93" xfId="0" applyFont="1" applyFill="1" applyBorder="1" applyAlignment="1">
      <alignment horizontal="center" vertical="top" wrapText="1"/>
    </xf>
    <xf numFmtId="0" fontId="11" fillId="2" borderId="91" xfId="0" applyFont="1" applyFill="1" applyBorder="1" applyAlignment="1">
      <alignment horizontal="center" vertical="top" wrapText="1"/>
    </xf>
    <xf numFmtId="0" fontId="11" fillId="3" borderId="94" xfId="0" applyFont="1" applyFill="1" applyBorder="1" applyAlignment="1">
      <alignment horizontal="center" vertical="center" wrapText="1"/>
    </xf>
    <xf numFmtId="0" fontId="11" fillId="3" borderId="91" xfId="0" applyFont="1" applyFill="1" applyBorder="1" applyAlignment="1">
      <alignment horizontal="center" vertical="top" wrapText="1"/>
    </xf>
    <xf numFmtId="4" fontId="11" fillId="3" borderId="94" xfId="0" applyNumberFormat="1" applyFont="1" applyFill="1" applyBorder="1" applyAlignment="1">
      <alignment horizontal="center" vertical="center"/>
    </xf>
    <xf numFmtId="4" fontId="11" fillId="3" borderId="94" xfId="0" applyNumberFormat="1" applyFont="1" applyFill="1" applyBorder="1" applyAlignment="1">
      <alignment horizontal="center" vertical="center" wrapText="1"/>
    </xf>
    <xf numFmtId="4" fontId="11" fillId="2" borderId="94" xfId="0" applyNumberFormat="1" applyFont="1" applyFill="1" applyBorder="1" applyAlignment="1">
      <alignment horizontal="center" vertical="center" wrapText="1"/>
    </xf>
    <xf numFmtId="0" fontId="11" fillId="3" borderId="95" xfId="0" applyFont="1" applyFill="1" applyBorder="1" applyAlignment="1">
      <alignment horizontal="center" vertical="top" wrapText="1"/>
    </xf>
    <xf numFmtId="0" fontId="11" fillId="2" borderId="96" xfId="0" applyFont="1" applyFill="1" applyBorder="1" applyAlignment="1">
      <alignment horizontal="left" vertical="top" wrapText="1"/>
    </xf>
    <xf numFmtId="0" fontId="11" fillId="3" borderId="97" xfId="0" applyFont="1" applyFill="1" applyBorder="1" applyAlignment="1">
      <alignment horizontal="center" vertical="center" wrapText="1"/>
    </xf>
    <xf numFmtId="4" fontId="11" fillId="3" borderId="97" xfId="0" applyNumberFormat="1" applyFont="1" applyFill="1" applyBorder="1" applyAlignment="1">
      <alignment horizontal="center" vertical="center"/>
    </xf>
    <xf numFmtId="4" fontId="11" fillId="3" borderId="97" xfId="0" applyNumberFormat="1" applyFont="1" applyFill="1" applyBorder="1" applyAlignment="1">
      <alignment horizontal="center" vertical="center" wrapText="1"/>
    </xf>
    <xf numFmtId="4" fontId="11" fillId="2" borderId="97" xfId="0" applyNumberFormat="1" applyFont="1" applyFill="1" applyBorder="1" applyAlignment="1">
      <alignment horizontal="center" vertical="center" wrapText="1"/>
    </xf>
    <xf numFmtId="0" fontId="11" fillId="3" borderId="97" xfId="0" applyFont="1" applyFill="1" applyBorder="1" applyAlignment="1">
      <alignment horizontal="center" vertical="top" wrapText="1"/>
    </xf>
    <xf numFmtId="0" fontId="11" fillId="3" borderId="98" xfId="0" applyFont="1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top" wrapText="1"/>
    </xf>
    <xf numFmtId="0" fontId="11" fillId="2" borderId="100" xfId="0" applyFont="1" applyFill="1" applyBorder="1" applyAlignment="1">
      <alignment horizontal="left" vertical="top" wrapText="1"/>
    </xf>
    <xf numFmtId="0" fontId="11" fillId="3" borderId="101" xfId="0" applyFont="1" applyFill="1" applyBorder="1" applyAlignment="1">
      <alignment horizontal="center" vertical="center" wrapText="1"/>
    </xf>
    <xf numFmtId="4" fontId="11" fillId="3" borderId="101" xfId="0" applyNumberFormat="1" applyFont="1" applyFill="1" applyBorder="1" applyAlignment="1">
      <alignment horizontal="center" vertical="center"/>
    </xf>
    <xf numFmtId="4" fontId="11" fillId="3" borderId="101" xfId="0" applyNumberFormat="1" applyFont="1" applyFill="1" applyBorder="1" applyAlignment="1">
      <alignment horizontal="center" vertical="center" wrapText="1"/>
    </xf>
    <xf numFmtId="4" fontId="11" fillId="2" borderId="101" xfId="0" applyNumberFormat="1" applyFont="1" applyFill="1" applyBorder="1" applyAlignment="1">
      <alignment horizontal="center" vertical="center" wrapText="1"/>
    </xf>
    <xf numFmtId="0" fontId="11" fillId="3" borderId="102" xfId="0" applyFont="1" applyFill="1" applyBorder="1" applyAlignment="1">
      <alignment horizontal="center" vertical="top" wrapText="1"/>
    </xf>
    <xf numFmtId="0" fontId="0" fillId="2" borderId="103" xfId="0" applyFont="1" applyFill="1" applyBorder="1" applyAlignment="1">
      <alignment horizontal="center" vertical="top" wrapText="1"/>
    </xf>
    <xf numFmtId="0" fontId="0" fillId="2" borderId="98" xfId="0" applyFont="1" applyFill="1" applyBorder="1" applyAlignment="1">
      <alignment vertical="top" wrapText="1"/>
    </xf>
    <xf numFmtId="0" fontId="11" fillId="3" borderId="101" xfId="0" applyFont="1" applyFill="1" applyBorder="1" applyAlignment="1">
      <alignment horizontal="center" vertical="top" wrapText="1"/>
    </xf>
    <xf numFmtId="0" fontId="20" fillId="2" borderId="57" xfId="0" applyFont="1" applyFill="1" applyBorder="1" applyAlignment="1">
      <alignment horizontal="center" vertical="center" wrapText="1"/>
    </xf>
    <xf numFmtId="4" fontId="16" fillId="2" borderId="106" xfId="0" applyNumberFormat="1" applyFont="1" applyFill="1" applyBorder="1" applyAlignment="1">
      <alignment vertical="center"/>
    </xf>
    <xf numFmtId="0" fontId="12" fillId="2" borderId="107" xfId="0" applyFont="1" applyFill="1" applyBorder="1" applyAlignment="1">
      <alignment horizontal="center" vertical="top" wrapText="1"/>
    </xf>
    <xf numFmtId="0" fontId="2" fillId="2" borderId="85" xfId="0" applyFont="1" applyFill="1" applyBorder="1" applyAlignment="1">
      <alignment horizontal="left" vertical="center" wrapText="1"/>
    </xf>
    <xf numFmtId="0" fontId="2" fillId="2" borderId="86" xfId="0" applyFont="1" applyFill="1" applyBorder="1" applyAlignment="1">
      <alignment horizontal="center" vertical="center" wrapText="1"/>
    </xf>
    <xf numFmtId="0" fontId="2" fillId="2" borderId="109" xfId="0" applyFont="1" applyFill="1" applyBorder="1" applyAlignment="1">
      <alignment horizontal="center" vertical="center" wrapText="1"/>
    </xf>
    <xf numFmtId="4" fontId="2" fillId="2" borderId="110" xfId="0" applyNumberFormat="1" applyFont="1" applyFill="1" applyBorder="1" applyAlignment="1">
      <alignment horizontal="center" vertical="center" wrapText="1"/>
    </xf>
    <xf numFmtId="16" fontId="2" fillId="2" borderId="85" xfId="0" applyNumberFormat="1" applyFont="1" applyFill="1" applyBorder="1" applyAlignment="1">
      <alignment horizontal="left" vertical="top" wrapText="1"/>
    </xf>
    <xf numFmtId="0" fontId="2" fillId="2" borderId="111" xfId="0" applyFont="1" applyFill="1" applyBorder="1" applyAlignment="1">
      <alignment horizontal="center" vertical="center" wrapText="1"/>
    </xf>
    <xf numFmtId="0" fontId="2" fillId="2" borderId="109" xfId="0" applyFont="1" applyFill="1" applyBorder="1" applyAlignment="1">
      <alignment horizontal="center" vertical="top" wrapText="1"/>
    </xf>
    <xf numFmtId="4" fontId="2" fillId="2" borderId="106" xfId="0" applyNumberFormat="1" applyFont="1" applyFill="1" applyBorder="1" applyAlignment="1">
      <alignment horizontal="center" vertical="center" wrapText="1"/>
    </xf>
    <xf numFmtId="16" fontId="2" fillId="2" borderId="112" xfId="0" applyNumberFormat="1" applyFont="1" applyFill="1" applyBorder="1" applyAlignment="1">
      <alignment horizontal="left" vertical="top" wrapText="1"/>
    </xf>
    <xf numFmtId="0" fontId="2" fillId="2" borderId="113" xfId="0" applyFont="1" applyFill="1" applyBorder="1" applyAlignment="1">
      <alignment horizontal="left" vertical="top" wrapText="1"/>
    </xf>
    <xf numFmtId="4" fontId="2" fillId="2" borderId="106" xfId="0" applyNumberFormat="1" applyFont="1" applyFill="1" applyBorder="1" applyAlignment="1">
      <alignment horizontal="center" vertical="center"/>
    </xf>
    <xf numFmtId="0" fontId="2" fillId="2" borderId="114" xfId="0" applyFont="1" applyFill="1" applyBorder="1" applyAlignment="1">
      <alignment horizontal="left" vertical="top" wrapText="1"/>
    </xf>
    <xf numFmtId="0" fontId="2" fillId="2" borderId="115" xfId="0" applyFont="1" applyFill="1" applyBorder="1" applyAlignment="1">
      <alignment horizontal="center" vertical="center" wrapText="1"/>
    </xf>
    <xf numFmtId="0" fontId="2" fillId="2" borderId="116" xfId="0" applyFont="1" applyFill="1" applyBorder="1" applyAlignment="1">
      <alignment horizontal="center" vertical="center" wrapText="1"/>
    </xf>
    <xf numFmtId="0" fontId="2" fillId="2" borderId="112" xfId="0" applyFont="1" applyFill="1" applyBorder="1" applyAlignment="1">
      <alignment horizontal="left" vertical="top" wrapText="1"/>
    </xf>
    <xf numFmtId="0" fontId="2" fillId="2" borderId="117" xfId="0" applyFont="1" applyFill="1" applyBorder="1" applyAlignment="1">
      <alignment horizontal="center" vertical="center" wrapText="1"/>
    </xf>
    <xf numFmtId="0" fontId="2" fillId="2" borderId="118" xfId="0" applyFont="1" applyFill="1" applyBorder="1" applyAlignment="1">
      <alignment horizontal="center" vertical="center" wrapText="1"/>
    </xf>
    <xf numFmtId="0" fontId="2" fillId="2" borderId="88" xfId="0" applyFont="1" applyFill="1" applyBorder="1" applyAlignment="1">
      <alignment horizontal="left" vertical="top" wrapText="1"/>
    </xf>
    <xf numFmtId="0" fontId="2" fillId="2" borderId="90" xfId="0" applyFont="1" applyFill="1" applyBorder="1" applyAlignment="1">
      <alignment horizontal="center" vertical="center" wrapText="1"/>
    </xf>
    <xf numFmtId="4" fontId="2" fillId="2" borderId="101" xfId="0" applyNumberFormat="1" applyFont="1" applyFill="1" applyBorder="1" applyAlignment="1">
      <alignment horizontal="center" vertical="center"/>
    </xf>
    <xf numFmtId="4" fontId="2" fillId="2" borderId="101" xfId="0" applyNumberFormat="1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horizontal="left" vertical="top" wrapText="1"/>
    </xf>
    <xf numFmtId="0" fontId="2" fillId="2" borderId="120" xfId="0" applyFont="1" applyFill="1" applyBorder="1" applyAlignment="1">
      <alignment horizontal="center" vertical="center" wrapText="1"/>
    </xf>
    <xf numFmtId="0" fontId="2" fillId="2" borderId="121" xfId="0" applyFont="1" applyFill="1" applyBorder="1" applyAlignment="1">
      <alignment horizontal="center" vertical="center" wrapText="1"/>
    </xf>
    <xf numFmtId="0" fontId="2" fillId="2" borderId="122" xfId="0" applyFont="1" applyFill="1" applyBorder="1" applyAlignment="1">
      <alignment horizontal="left" vertical="top" wrapText="1"/>
    </xf>
    <xf numFmtId="0" fontId="2" fillId="2" borderId="123" xfId="0" applyFont="1" applyFill="1" applyBorder="1" applyAlignment="1">
      <alignment horizontal="center" vertical="center" wrapText="1"/>
    </xf>
    <xf numFmtId="0" fontId="2" fillId="2" borderId="124" xfId="0" applyFont="1" applyFill="1" applyBorder="1" applyAlignment="1">
      <alignment horizontal="center" vertical="center" wrapText="1"/>
    </xf>
    <xf numFmtId="0" fontId="2" fillId="2" borderId="125" xfId="0" applyFont="1" applyFill="1" applyBorder="1" applyAlignment="1">
      <alignment horizontal="left" vertical="top" wrapText="1"/>
    </xf>
    <xf numFmtId="0" fontId="2" fillId="2" borderId="126" xfId="0" applyFont="1" applyFill="1" applyBorder="1" applyAlignment="1">
      <alignment horizontal="center" vertical="center" wrapText="1"/>
    </xf>
    <xf numFmtId="0" fontId="2" fillId="2" borderId="127" xfId="0" applyFont="1" applyFill="1" applyBorder="1" applyAlignment="1">
      <alignment horizontal="left" vertical="top" wrapText="1"/>
    </xf>
    <xf numFmtId="0" fontId="2" fillId="2" borderId="128" xfId="0" applyFont="1" applyFill="1" applyBorder="1" applyAlignment="1">
      <alignment horizontal="center" vertical="center" wrapText="1"/>
    </xf>
    <xf numFmtId="0" fontId="2" fillId="2" borderId="129" xfId="0" applyFont="1" applyFill="1" applyBorder="1" applyAlignment="1">
      <alignment horizontal="center" vertical="center" wrapText="1"/>
    </xf>
    <xf numFmtId="0" fontId="2" fillId="2" borderId="99" xfId="0" applyFont="1" applyFill="1" applyBorder="1" applyAlignment="1">
      <alignment horizontal="center" vertical="center" wrapText="1"/>
    </xf>
    <xf numFmtId="0" fontId="11" fillId="2" borderId="130" xfId="0" applyFont="1" applyFill="1" applyBorder="1" applyAlignment="1">
      <alignment horizontal="left" vertical="top" wrapText="1"/>
    </xf>
    <xf numFmtId="0" fontId="2" fillId="2" borderId="130" xfId="0" applyFont="1" applyFill="1" applyBorder="1" applyAlignment="1">
      <alignment horizontal="center" vertical="top" wrapText="1"/>
    </xf>
    <xf numFmtId="0" fontId="2" fillId="2" borderId="99" xfId="0" applyFont="1" applyFill="1" applyBorder="1" applyAlignment="1">
      <alignment horizontal="center" vertical="top" wrapText="1"/>
    </xf>
    <xf numFmtId="0" fontId="2" fillId="2" borderId="124" xfId="0" applyFont="1" applyFill="1" applyBorder="1" applyAlignment="1">
      <alignment vertical="center" wrapText="1"/>
    </xf>
    <xf numFmtId="0" fontId="2" fillId="2" borderId="131" xfId="0" applyFont="1" applyFill="1" applyBorder="1" applyAlignment="1">
      <alignment horizontal="center" vertical="center" wrapText="1"/>
    </xf>
    <xf numFmtId="4" fontId="10" fillId="2" borderId="132" xfId="0" applyNumberFormat="1" applyFont="1" applyFill="1" applyBorder="1" applyAlignment="1">
      <alignment horizontal="center" vertical="center"/>
    </xf>
    <xf numFmtId="0" fontId="2" fillId="2" borderId="133" xfId="0" applyFont="1" applyFill="1" applyBorder="1" applyAlignment="1">
      <alignment horizontal="center" vertical="center" wrapText="1"/>
    </xf>
    <xf numFmtId="0" fontId="2" fillId="2" borderId="134" xfId="0" applyFont="1" applyFill="1" applyBorder="1" applyAlignment="1">
      <alignment horizontal="center" vertical="center" wrapText="1"/>
    </xf>
    <xf numFmtId="0" fontId="22" fillId="2" borderId="134" xfId="0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vertical="top" wrapText="1"/>
    </xf>
    <xf numFmtId="4" fontId="2" fillId="2" borderId="132" xfId="0" applyNumberFormat="1" applyFont="1" applyFill="1" applyBorder="1" applyAlignment="1">
      <alignment horizontal="center" vertical="center"/>
    </xf>
    <xf numFmtId="4" fontId="2" fillId="2" borderId="132" xfId="0" applyNumberFormat="1" applyFont="1" applyFill="1" applyBorder="1" applyAlignment="1">
      <alignment horizontal="center" vertical="center" wrapText="1"/>
    </xf>
    <xf numFmtId="0" fontId="2" fillId="2" borderId="135" xfId="0" applyFont="1" applyFill="1" applyBorder="1" applyAlignment="1">
      <alignment horizontal="center" vertical="top"/>
    </xf>
    <xf numFmtId="0" fontId="12" fillId="2" borderId="135" xfId="0" applyFont="1" applyFill="1" applyBorder="1" applyAlignment="1">
      <alignment vertical="top" wrapText="1"/>
    </xf>
    <xf numFmtId="0" fontId="2" fillId="2" borderId="135" xfId="0" applyFont="1" applyFill="1" applyBorder="1" applyAlignment="1">
      <alignment vertical="top" wrapText="1"/>
    </xf>
    <xf numFmtId="0" fontId="2" fillId="2" borderId="135" xfId="0" applyFont="1" applyFill="1" applyBorder="1" applyAlignment="1">
      <alignment horizontal="center" vertical="top" wrapText="1"/>
    </xf>
    <xf numFmtId="0" fontId="22" fillId="2" borderId="135" xfId="0" applyFont="1" applyFill="1" applyBorder="1" applyAlignment="1">
      <alignment horizontal="center" vertical="center" wrapText="1"/>
    </xf>
    <xf numFmtId="0" fontId="2" fillId="2" borderId="136" xfId="0" applyFont="1" applyFill="1" applyBorder="1" applyAlignment="1">
      <alignment horizontal="center" vertical="center" wrapText="1"/>
    </xf>
    <xf numFmtId="0" fontId="2" fillId="2" borderId="137" xfId="0" applyFont="1" applyFill="1" applyBorder="1" applyAlignment="1">
      <alignment horizontal="center" vertical="top"/>
    </xf>
    <xf numFmtId="0" fontId="12" fillId="2" borderId="137" xfId="0" applyFont="1" applyFill="1" applyBorder="1" applyAlignment="1">
      <alignment vertical="top" wrapText="1"/>
    </xf>
    <xf numFmtId="0" fontId="2" fillId="2" borderId="137" xfId="0" applyFont="1" applyFill="1" applyBorder="1" applyAlignment="1">
      <alignment vertical="top" wrapText="1"/>
    </xf>
    <xf numFmtId="0" fontId="2" fillId="2" borderId="137" xfId="0" applyFont="1" applyFill="1" applyBorder="1" applyAlignment="1">
      <alignment horizontal="center" vertical="top" wrapText="1"/>
    </xf>
    <xf numFmtId="0" fontId="2" fillId="2" borderId="139" xfId="0" applyFont="1" applyFill="1" applyBorder="1" applyAlignment="1">
      <alignment horizontal="center" vertical="center" wrapText="1"/>
    </xf>
    <xf numFmtId="4" fontId="11" fillId="2" borderId="140" xfId="0" applyNumberFormat="1" applyFont="1" applyFill="1" applyBorder="1" applyAlignment="1">
      <alignment horizontal="left" vertical="top" wrapText="1"/>
    </xf>
    <xf numFmtId="0" fontId="2" fillId="2" borderId="141" xfId="0" applyFont="1" applyFill="1" applyBorder="1" applyAlignment="1">
      <alignment horizontal="center" vertical="center" wrapText="1"/>
    </xf>
    <xf numFmtId="0" fontId="2" fillId="2" borderId="86" xfId="0" applyFont="1" applyFill="1" applyBorder="1" applyAlignment="1">
      <alignment vertical="top" wrapText="1"/>
    </xf>
    <xf numFmtId="0" fontId="19" fillId="2" borderId="86" xfId="0" applyFont="1" applyFill="1" applyBorder="1" applyAlignment="1">
      <alignment vertical="top" wrapText="1"/>
    </xf>
    <xf numFmtId="0" fontId="19" fillId="2" borderId="85" xfId="0" applyFont="1" applyFill="1" applyBorder="1" applyAlignment="1">
      <alignment vertical="top" wrapText="1"/>
    </xf>
    <xf numFmtId="0" fontId="12" fillId="2" borderId="129" xfId="0" applyFont="1" applyFill="1" applyBorder="1" applyAlignment="1">
      <alignment horizontal="center" vertical="center" wrapText="1"/>
    </xf>
    <xf numFmtId="0" fontId="2" fillId="2" borderId="129" xfId="0" applyFont="1" applyFill="1" applyBorder="1" applyAlignment="1">
      <alignment vertical="top" wrapText="1"/>
    </xf>
    <xf numFmtId="0" fontId="19" fillId="2" borderId="129" xfId="0" applyFont="1" applyFill="1" applyBorder="1" applyAlignment="1">
      <alignment vertical="top" wrapText="1"/>
    </xf>
    <xf numFmtId="0" fontId="13" fillId="2" borderId="143" xfId="0" applyFont="1" applyFill="1" applyBorder="1" applyAlignment="1">
      <alignment vertical="top" wrapText="1"/>
    </xf>
    <xf numFmtId="4" fontId="15" fillId="2" borderId="18" xfId="0" applyNumberFormat="1" applyFont="1" applyFill="1" applyBorder="1" applyAlignment="1">
      <alignment horizontal="left" vertical="center" wrapText="1"/>
    </xf>
    <xf numFmtId="0" fontId="13" fillId="2" borderId="82" xfId="0" applyFont="1" applyFill="1" applyBorder="1" applyAlignment="1">
      <alignment vertical="top" wrapText="1"/>
    </xf>
    <xf numFmtId="0" fontId="11" fillId="2" borderId="145" xfId="0" applyFont="1" applyFill="1" applyBorder="1" applyAlignment="1">
      <alignment horizontal="center" vertical="top" wrapText="1"/>
    </xf>
    <xf numFmtId="0" fontId="11" fillId="2" borderId="145" xfId="0" applyFont="1" applyFill="1" applyBorder="1" applyAlignment="1">
      <alignment vertical="top" wrapText="1"/>
    </xf>
    <xf numFmtId="0" fontId="11" fillId="2" borderId="28" xfId="0" applyFont="1" applyFill="1" applyBorder="1" applyAlignment="1">
      <alignment vertical="top" wrapText="1"/>
    </xf>
    <xf numFmtId="0" fontId="10" fillId="2" borderId="146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top" wrapText="1"/>
    </xf>
    <xf numFmtId="0" fontId="17" fillId="2" borderId="126" xfId="0" applyFont="1" applyFill="1" applyBorder="1" applyAlignment="1">
      <alignment vertical="top" wrapText="1"/>
    </xf>
    <xf numFmtId="0" fontId="11" fillId="2" borderId="147" xfId="0" applyFont="1" applyFill="1" applyBorder="1" applyAlignment="1">
      <alignment vertical="top" wrapText="1"/>
    </xf>
    <xf numFmtId="0" fontId="11" fillId="2" borderId="148" xfId="0" applyFont="1" applyFill="1" applyBorder="1" applyAlignment="1">
      <alignment vertical="top" wrapText="1"/>
    </xf>
    <xf numFmtId="0" fontId="18" fillId="2" borderId="7" xfId="0" applyFont="1" applyFill="1" applyBorder="1" applyAlignment="1">
      <alignment vertical="top" wrapText="1"/>
    </xf>
    <xf numFmtId="0" fontId="11" fillId="3" borderId="7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0" fontId="0" fillId="2" borderId="12" xfId="0" applyFont="1" applyFill="1" applyBorder="1" applyAlignment="1">
      <alignment vertical="top" wrapText="1"/>
    </xf>
    <xf numFmtId="0" fontId="21" fillId="2" borderId="7" xfId="0" applyFont="1" applyFill="1" applyBorder="1" applyAlignment="1">
      <alignment vertical="top" wrapText="1"/>
    </xf>
    <xf numFmtId="0" fontId="2" fillId="2" borderId="149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139" xfId="0" applyFont="1" applyFill="1" applyBorder="1" applyAlignment="1">
      <alignment horizontal="center" vertical="center" wrapText="1"/>
    </xf>
    <xf numFmtId="0" fontId="22" fillId="2" borderId="13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0" fillId="2" borderId="103" xfId="0" applyFont="1" applyFill="1" applyBorder="1" applyAlignment="1">
      <alignment vertical="top" wrapText="1"/>
    </xf>
    <xf numFmtId="0" fontId="12" fillId="2" borderId="93" xfId="0" applyFont="1" applyFill="1" applyBorder="1" applyAlignment="1">
      <alignment vertical="top" wrapText="1"/>
    </xf>
    <xf numFmtId="0" fontId="2" fillId="2" borderId="91" xfId="0" applyFont="1" applyFill="1" applyBorder="1" applyAlignment="1">
      <alignment horizontal="center" vertical="top"/>
    </xf>
    <xf numFmtId="0" fontId="11" fillId="2" borderId="93" xfId="0" applyFont="1" applyFill="1" applyBorder="1" applyAlignment="1">
      <alignment vertical="top" wrapText="1"/>
    </xf>
    <xf numFmtId="0" fontId="29" fillId="2" borderId="0" xfId="0" applyFont="1" applyFill="1" applyBorder="1" applyAlignment="1"/>
    <xf numFmtId="0" fontId="30" fillId="2" borderId="0" xfId="0" applyFont="1" applyFill="1" applyBorder="1" applyAlignment="1"/>
    <xf numFmtId="0" fontId="5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12" fillId="2" borderId="39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top" wrapText="1"/>
    </xf>
    <xf numFmtId="0" fontId="11" fillId="2" borderId="145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vertical="top" wrapText="1"/>
    </xf>
    <xf numFmtId="0" fontId="2" fillId="2" borderId="29" xfId="0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11" fillId="2" borderId="23" xfId="0" applyFont="1" applyFill="1" applyBorder="1" applyAlignment="1">
      <alignment vertical="top" wrapText="1"/>
    </xf>
    <xf numFmtId="0" fontId="11" fillId="2" borderId="32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2" fillId="2" borderId="130" xfId="0" applyFont="1" applyFill="1" applyBorder="1" applyAlignment="1">
      <alignment vertical="top" wrapText="1"/>
    </xf>
    <xf numFmtId="0" fontId="11" fillId="2" borderId="130" xfId="0" applyFont="1" applyFill="1" applyBorder="1" applyAlignment="1">
      <alignment vertical="top" wrapText="1"/>
    </xf>
    <xf numFmtId="0" fontId="12" fillId="2" borderId="130" xfId="0" applyFont="1" applyFill="1" applyBorder="1" applyAlignment="1">
      <alignment horizontal="center" vertical="top" wrapText="1"/>
    </xf>
    <xf numFmtId="0" fontId="11" fillId="2" borderId="130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top" wrapText="1"/>
    </xf>
    <xf numFmtId="0" fontId="11" fillId="2" borderId="152" xfId="0" applyFont="1" applyFill="1" applyBorder="1" applyAlignment="1">
      <alignment horizontal="left" vertical="top" wrapText="1"/>
    </xf>
    <xf numFmtId="0" fontId="11" fillId="3" borderId="153" xfId="0" applyFont="1" applyFill="1" applyBorder="1" applyAlignment="1">
      <alignment horizontal="center" vertical="center" wrapText="1"/>
    </xf>
    <xf numFmtId="0" fontId="13" fillId="2" borderId="153" xfId="0" applyFont="1" applyFill="1" applyBorder="1" applyAlignment="1">
      <alignment vertical="top" wrapText="1"/>
    </xf>
    <xf numFmtId="0" fontId="11" fillId="3" borderId="110" xfId="0" applyFont="1" applyFill="1" applyBorder="1" applyAlignment="1">
      <alignment horizontal="center" vertical="center" wrapText="1"/>
    </xf>
    <xf numFmtId="0" fontId="11" fillId="2" borderId="154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vertical="top" wrapText="1"/>
    </xf>
    <xf numFmtId="0" fontId="5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11" fillId="2" borderId="145" xfId="0" applyFont="1" applyFill="1" applyBorder="1" applyAlignment="1">
      <alignment horizontal="center" vertical="top" wrapText="1"/>
    </xf>
    <xf numFmtId="0" fontId="12" fillId="2" borderId="39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2" fillId="2" borderId="159" xfId="0" applyFont="1" applyFill="1" applyBorder="1" applyAlignment="1">
      <alignment horizontal="center" vertical="center" wrapText="1"/>
    </xf>
    <xf numFmtId="4" fontId="10" fillId="2" borderId="15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top" wrapText="1"/>
    </xf>
    <xf numFmtId="0" fontId="10" fillId="2" borderId="15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/>
    <xf numFmtId="0" fontId="37" fillId="2" borderId="0" xfId="0" applyFont="1" applyFill="1"/>
    <xf numFmtId="0" fontId="37" fillId="2" borderId="0" xfId="0" applyFont="1" applyFill="1" applyBorder="1" applyAlignment="1">
      <alignment wrapText="1"/>
    </xf>
    <xf numFmtId="0" fontId="38" fillId="2" borderId="0" xfId="0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Border="1" applyAlignment="1"/>
    <xf numFmtId="0" fontId="0" fillId="2" borderId="0" xfId="0" applyFont="1" applyFill="1" applyAlignment="1"/>
    <xf numFmtId="0" fontId="7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33" fillId="2" borderId="0" xfId="0" applyFont="1" applyFill="1" applyBorder="1" applyAlignment="1">
      <alignment horizontal="center" wrapText="1"/>
    </xf>
    <xf numFmtId="0" fontId="34" fillId="2" borderId="6" xfId="0" applyFont="1" applyFill="1" applyBorder="1" applyAlignment="1">
      <alignment horizontal="center" vertical="top" wrapText="1"/>
    </xf>
    <xf numFmtId="0" fontId="34" fillId="2" borderId="6" xfId="0" applyFont="1" applyFill="1" applyBorder="1" applyAlignment="1">
      <alignment horizontal="center" vertical="center" wrapText="1"/>
    </xf>
    <xf numFmtId="0" fontId="12" fillId="2" borderId="93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top" wrapText="1"/>
    </xf>
    <xf numFmtId="0" fontId="2" fillId="2" borderId="14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2" fillId="2" borderId="24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top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9" fillId="2" borderId="53" xfId="0" applyFont="1" applyFill="1" applyBorder="1" applyAlignment="1">
      <alignment vertical="center" wrapText="1"/>
    </xf>
    <xf numFmtId="0" fontId="19" fillId="2" borderId="55" xfId="0" applyFont="1" applyFill="1" applyBorder="1" applyAlignment="1">
      <alignment vertical="center" wrapText="1"/>
    </xf>
    <xf numFmtId="0" fontId="19" fillId="2" borderId="14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vertical="top" wrapText="1"/>
    </xf>
    <xf numFmtId="0" fontId="37" fillId="2" borderId="0" xfId="0" applyFont="1" applyFill="1" applyBorder="1" applyAlignment="1">
      <alignment horizontal="left" wrapText="1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9" fillId="2" borderId="146" xfId="0" applyFont="1" applyFill="1" applyBorder="1" applyAlignment="1">
      <alignment vertical="top" wrapText="1"/>
    </xf>
    <xf numFmtId="0" fontId="19" fillId="2" borderId="128" xfId="0" applyFont="1" applyFill="1" applyBorder="1" applyAlignment="1">
      <alignment vertical="top" wrapText="1"/>
    </xf>
    <xf numFmtId="0" fontId="12" fillId="2" borderId="155" xfId="0" applyFont="1" applyFill="1" applyBorder="1" applyAlignment="1">
      <alignment horizontal="center" vertical="center" wrapText="1"/>
    </xf>
    <xf numFmtId="0" fontId="2" fillId="2" borderId="157" xfId="0" applyFont="1" applyFill="1" applyBorder="1" applyAlignment="1">
      <alignment vertical="top" wrapText="1"/>
    </xf>
    <xf numFmtId="0" fontId="2" fillId="2" borderId="158" xfId="0" applyFont="1" applyFill="1" applyBorder="1" applyAlignment="1">
      <alignment vertical="top" wrapText="1"/>
    </xf>
    <xf numFmtId="0" fontId="12" fillId="2" borderId="16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34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top" wrapText="1"/>
    </xf>
    <xf numFmtId="0" fontId="11" fillId="2" borderId="128" xfId="0" applyFont="1" applyFill="1" applyBorder="1" applyAlignment="1">
      <alignment horizontal="center" vertical="top" wrapText="1"/>
    </xf>
    <xf numFmtId="0" fontId="11" fillId="2" borderId="145" xfId="0" applyFont="1" applyFill="1" applyBorder="1" applyAlignment="1">
      <alignment horizontal="center" vertical="top" wrapText="1"/>
    </xf>
    <xf numFmtId="0" fontId="22" fillId="2" borderId="150" xfId="0" applyFont="1" applyFill="1" applyBorder="1" applyAlignment="1">
      <alignment horizontal="center" vertical="center" wrapText="1"/>
    </xf>
    <xf numFmtId="0" fontId="22" fillId="2" borderId="145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vertical="top" wrapText="1"/>
    </xf>
    <xf numFmtId="0" fontId="2" fillId="2" borderId="121" xfId="0" applyFont="1" applyFill="1" applyBorder="1" applyAlignment="1">
      <alignment vertical="top" wrapText="1"/>
    </xf>
    <xf numFmtId="0" fontId="12" fillId="2" borderId="39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32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wrapText="1"/>
    </xf>
    <xf numFmtId="0" fontId="12" fillId="2" borderId="15" xfId="0" applyFont="1" applyFill="1" applyBorder="1" applyAlignment="1">
      <alignment horizontal="center" vertical="center" wrapText="1"/>
    </xf>
    <xf numFmtId="0" fontId="19" fillId="2" borderId="70" xfId="0" applyFont="1" applyFill="1" applyBorder="1" applyAlignment="1">
      <alignment vertical="top" wrapText="1"/>
    </xf>
    <xf numFmtId="0" fontId="19" fillId="2" borderId="139" xfId="0" applyFont="1" applyFill="1" applyBorder="1" applyAlignment="1">
      <alignment vertical="top" wrapText="1"/>
    </xf>
    <xf numFmtId="0" fontId="34" fillId="2" borderId="146" xfId="0" applyFont="1" applyFill="1" applyBorder="1" applyAlignment="1">
      <alignment horizontal="center" vertical="top" wrapText="1"/>
    </xf>
    <xf numFmtId="0" fontId="34" fillId="2" borderId="9" xfId="0" applyFont="1" applyFill="1" applyBorder="1" applyAlignment="1">
      <alignment horizontal="center" vertical="top" wrapText="1"/>
    </xf>
    <xf numFmtId="0" fontId="34" fillId="2" borderId="151" xfId="0" applyFont="1" applyFill="1" applyBorder="1" applyAlignment="1">
      <alignment horizontal="center" vertical="top" wrapText="1"/>
    </xf>
    <xf numFmtId="0" fontId="34" fillId="2" borderId="1" xfId="0" applyFont="1" applyFill="1" applyBorder="1" applyAlignment="1">
      <alignment horizontal="center" vertical="top" wrapText="1"/>
    </xf>
    <xf numFmtId="0" fontId="34" fillId="2" borderId="70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12" fillId="2" borderId="99" xfId="0" applyFont="1" applyFill="1" applyBorder="1" applyAlignment="1">
      <alignment horizontal="center" vertical="center" wrapText="1"/>
    </xf>
    <xf numFmtId="0" fontId="12" fillId="2" borderId="124" xfId="0" applyFont="1" applyFill="1" applyBorder="1" applyAlignment="1">
      <alignment horizontal="center" vertical="center" wrapText="1"/>
    </xf>
    <xf numFmtId="0" fontId="12" fillId="2" borderId="83" xfId="0" applyFont="1" applyFill="1" applyBorder="1" applyAlignment="1">
      <alignment horizontal="center" vertical="center" wrapText="1"/>
    </xf>
    <xf numFmtId="0" fontId="19" fillId="2" borderId="134" xfId="0" applyFont="1" applyFill="1" applyBorder="1" applyAlignment="1">
      <alignment vertical="top" wrapText="1"/>
    </xf>
    <xf numFmtId="0" fontId="22" fillId="2" borderId="13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2" fillId="2" borderId="139" xfId="0" applyFont="1" applyFill="1" applyBorder="1" applyAlignment="1">
      <alignment horizontal="center" vertical="center" wrapText="1"/>
    </xf>
    <xf numFmtId="0" fontId="2" fillId="2" borderId="142" xfId="0" applyFont="1" applyFill="1" applyBorder="1" applyAlignment="1">
      <alignment vertical="top" wrapText="1"/>
    </xf>
    <xf numFmtId="0" fontId="9" fillId="2" borderId="70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top" wrapText="1"/>
    </xf>
    <xf numFmtId="0" fontId="2" fillId="2" borderId="108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2" fillId="2" borderId="91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2" fillId="2" borderId="102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9" fillId="2" borderId="102" xfId="0" applyFont="1" applyFill="1" applyBorder="1" applyAlignment="1">
      <alignment vertical="center" wrapText="1"/>
    </xf>
    <xf numFmtId="0" fontId="19" fillId="2" borderId="105" xfId="0" applyFont="1" applyFill="1" applyBorder="1" applyAlignment="1">
      <alignment vertical="center" wrapText="1"/>
    </xf>
    <xf numFmtId="0" fontId="19" fillId="2" borderId="104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67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right" vertical="center" wrapText="1"/>
    </xf>
    <xf numFmtId="0" fontId="25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vertical="center" wrapText="1"/>
    </xf>
    <xf numFmtId="0" fontId="19" fillId="2" borderId="67" xfId="0" applyFont="1" applyFill="1" applyBorder="1" applyAlignment="1">
      <alignment vertical="center" wrapText="1"/>
    </xf>
    <xf numFmtId="0" fontId="19" fillId="2" borderId="59" xfId="0" applyFont="1" applyFill="1" applyBorder="1" applyAlignment="1">
      <alignment vertical="center" wrapText="1"/>
    </xf>
    <xf numFmtId="0" fontId="12" fillId="2" borderId="76" xfId="0" applyFont="1" applyFill="1" applyBorder="1" applyAlignment="1">
      <alignment horizontal="center" vertical="top" wrapText="1"/>
    </xf>
    <xf numFmtId="0" fontId="2" fillId="2" borderId="76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78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vertical="top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2" fillId="2" borderId="24" xfId="0" applyFont="1" applyFill="1" applyBorder="1" applyAlignment="1">
      <alignment vertical="top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/>
    <xf numFmtId="0" fontId="0" fillId="4" borderId="0" xfId="0" applyFont="1" applyFill="1" applyAlignment="1"/>
    <xf numFmtId="0" fontId="39" fillId="0" borderId="0" xfId="0" applyFont="1"/>
    <xf numFmtId="0" fontId="40" fillId="2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1;&#1070;&#1044;&#1052;&#1048;&#1051;&#1040;\3.&#1042;&#1048;&#1050;&#1054;&#1053;&#1050;&#1054;&#1052;_&#1057;&#1045;&#1057;&#1030;&#1071;(&#1088;&#1077;&#1096;&#1077;&#1085;&#1080;&#1103;)\&#1042;&#1048;&#1050;&#1054;&#1053;&#1050;&#1054;&#1052;_&#1057;&#1045;&#1057;&#1030;&#1071;%20&#1090;&#1088;&#1072;&#1074;&#1077;&#1085;&#1100;%202024\&#1044;&#1086;&#1076;&#1072;&#1090;&#1086;&#1082;%202_&#1083;&#1080;&#1089;&#1090;&#1086;&#1087;&#1072;&#1076;2023%20_&#1088;&#1072;&#1073;&#1086;&#109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Загсум"/>
      <sheetName val="додаток сесія_2024_2028_1611"/>
      <sheetName val="додаток сесія_2024_2026"/>
      <sheetName val="додаток сесія_актуальна"/>
      <sheetName val="зміни 300823"/>
      <sheetName val="додаток сесія_1901_решение"/>
      <sheetName val="станом на 23.02.22"/>
    </sheetNames>
    <sheetDataSet>
      <sheetData sheetId="0">
        <row r="23">
          <cell r="G23">
            <v>254461.72</v>
          </cell>
          <cell r="H23">
            <v>419562.19999999995</v>
          </cell>
          <cell r="I23">
            <v>461134.5</v>
          </cell>
          <cell r="J23">
            <v>614158.40000000014</v>
          </cell>
          <cell r="K23">
            <v>910764.79</v>
          </cell>
          <cell r="L23">
            <v>2006163.4000000001</v>
          </cell>
          <cell r="M23">
            <v>2130497.1999999997</v>
          </cell>
          <cell r="N23">
            <v>2120341.898</v>
          </cell>
          <cell r="O23">
            <v>1849038.28614</v>
          </cell>
          <cell r="P23">
            <v>2907043.7037400003</v>
          </cell>
          <cell r="Q23">
            <v>2684521.9948199997</v>
          </cell>
          <cell r="R23">
            <v>2950088.7464736402</v>
          </cell>
          <cell r="S23">
            <v>3282699.7496440914</v>
          </cell>
          <cell r="T23">
            <v>22590476.588817731</v>
          </cell>
        </row>
      </sheetData>
      <sheetData sheetId="1"/>
      <sheetData sheetId="2"/>
      <sheetData sheetId="3">
        <row r="91">
          <cell r="G91">
            <v>115838.47999999998</v>
          </cell>
          <cell r="H91">
            <v>214504.09999999998</v>
          </cell>
          <cell r="I91">
            <v>240425.5</v>
          </cell>
          <cell r="J91">
            <v>295414.2</v>
          </cell>
          <cell r="K91">
            <v>449477.26</v>
          </cell>
          <cell r="L91">
            <v>628078.5</v>
          </cell>
          <cell r="M91">
            <v>664788.30000000005</v>
          </cell>
          <cell r="N91">
            <v>854868.20000000007</v>
          </cell>
          <cell r="O91">
            <v>3463394.54</v>
          </cell>
        </row>
        <row r="219">
          <cell r="G219">
            <v>138423.32</v>
          </cell>
          <cell r="H219">
            <v>204758.1</v>
          </cell>
          <cell r="I219">
            <v>220709</v>
          </cell>
          <cell r="J219">
            <v>313192.90000000002</v>
          </cell>
          <cell r="K219">
            <v>421613.6</v>
          </cell>
          <cell r="L219">
            <v>1308589.8</v>
          </cell>
          <cell r="M219">
            <v>1406025</v>
          </cell>
          <cell r="N219">
            <v>1203878.7</v>
          </cell>
          <cell r="O219">
            <v>5217190.42</v>
          </cell>
        </row>
        <row r="254">
          <cell r="G254">
            <v>254461.71999999997</v>
          </cell>
          <cell r="H254">
            <v>419562.19999999995</v>
          </cell>
          <cell r="I254">
            <v>461134.5</v>
          </cell>
          <cell r="J254">
            <v>614158.40000000014</v>
          </cell>
          <cell r="K254">
            <v>910764.79</v>
          </cell>
          <cell r="L254">
            <v>2006163.4</v>
          </cell>
          <cell r="M254">
            <v>2130497.2000000002</v>
          </cell>
          <cell r="N254">
            <v>2120341.898</v>
          </cell>
          <cell r="O254">
            <v>8917084.1080000009</v>
          </cell>
        </row>
      </sheetData>
      <sheetData sheetId="4"/>
      <sheetData sheetId="5">
        <row r="88">
          <cell r="G88">
            <v>115838.47999999998</v>
          </cell>
          <cell r="H88">
            <v>214504.09999999998</v>
          </cell>
          <cell r="I88">
            <v>240425.5</v>
          </cell>
          <cell r="J88">
            <v>295414.2</v>
          </cell>
          <cell r="K88">
            <v>449477.26</v>
          </cell>
          <cell r="L88">
            <v>628078.5</v>
          </cell>
          <cell r="M88">
            <v>664788.30000000005</v>
          </cell>
          <cell r="N88">
            <v>854868.20000000007</v>
          </cell>
          <cell r="O88">
            <v>3463394.54</v>
          </cell>
        </row>
        <row r="212">
          <cell r="G212">
            <v>138423.32</v>
          </cell>
          <cell r="H212">
            <v>204758.1</v>
          </cell>
          <cell r="I212">
            <v>220709</v>
          </cell>
          <cell r="J212">
            <v>313192.90000000002</v>
          </cell>
          <cell r="K212">
            <v>421613.6</v>
          </cell>
          <cell r="L212">
            <v>1308589.8</v>
          </cell>
          <cell r="M212">
            <v>1406025</v>
          </cell>
          <cell r="N212">
            <v>1203878.7</v>
          </cell>
          <cell r="O212">
            <v>5217190.42</v>
          </cell>
        </row>
        <row r="234">
          <cell r="G234">
            <v>0</v>
          </cell>
          <cell r="H234">
            <v>0</v>
          </cell>
          <cell r="I234">
            <v>0</v>
          </cell>
          <cell r="J234">
            <v>5551.3</v>
          </cell>
          <cell r="K234">
            <v>39506.5</v>
          </cell>
          <cell r="L234">
            <v>67510</v>
          </cell>
          <cell r="M234">
            <v>59195</v>
          </cell>
          <cell r="N234">
            <v>61595</v>
          </cell>
          <cell r="O234">
            <v>233357.8</v>
          </cell>
        </row>
        <row r="246">
          <cell r="G246">
            <v>254461.71999999997</v>
          </cell>
          <cell r="H246">
            <v>419562.19999999995</v>
          </cell>
          <cell r="I246">
            <v>461134.5</v>
          </cell>
          <cell r="J246">
            <v>614158.40000000014</v>
          </cell>
          <cell r="K246">
            <v>910764.79</v>
          </cell>
          <cell r="L246">
            <v>2006163.4</v>
          </cell>
          <cell r="M246">
            <v>2130497.2000000002</v>
          </cell>
          <cell r="N246">
            <v>2120341.9</v>
          </cell>
          <cell r="O246">
            <v>8917084.1100000013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8"/>
  <sheetViews>
    <sheetView tabSelected="1" view="pageBreakPreview" zoomScale="91" zoomScaleNormal="100" zoomScaleSheetLayoutView="91" workbookViewId="0">
      <pane xSplit="13" ySplit="12" topLeftCell="R13" activePane="bottomRight" state="frozen"/>
      <selection pane="topRight" activeCell="N1" sqref="N1"/>
      <selection pane="bottomLeft" activeCell="A12" sqref="A12"/>
      <selection pane="bottomRight" activeCell="S3" sqref="S3:T3"/>
    </sheetView>
  </sheetViews>
  <sheetFormatPr defaultRowHeight="13.5" x14ac:dyDescent="0.2"/>
  <cols>
    <col min="1" max="1" width="5.85546875" style="1" customWidth="1"/>
    <col min="2" max="2" width="17.140625" style="1" customWidth="1"/>
    <col min="3" max="3" width="62.85546875" style="2" customWidth="1"/>
    <col min="4" max="4" width="7.7109375" style="1" customWidth="1"/>
    <col min="5" max="5" width="20" style="1" customWidth="1"/>
    <col min="6" max="6" width="22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2.85546875" style="1" customWidth="1"/>
    <col min="15" max="15" width="13.140625" style="1" customWidth="1"/>
    <col min="16" max="16" width="12.42578125" style="1" customWidth="1"/>
    <col min="17" max="17" width="13" style="1" customWidth="1"/>
    <col min="18" max="18" width="13.140625" style="1" customWidth="1"/>
    <col min="19" max="19" width="13.7109375" style="1" customWidth="1"/>
    <col min="20" max="20" width="13.28515625" style="1" customWidth="1"/>
    <col min="21" max="21" width="16.140625" style="1" customWidth="1"/>
    <col min="22" max="22" width="14.5703125" style="1" customWidth="1"/>
    <col min="23" max="23" width="13.42578125" style="1" customWidth="1"/>
    <col min="24" max="16384" width="9.140625" style="1"/>
  </cols>
  <sheetData>
    <row r="1" spans="1:23" ht="23.25" customHeight="1" x14ac:dyDescent="0.4">
      <c r="A1" s="4"/>
      <c r="B1" s="4"/>
      <c r="C1" s="5"/>
      <c r="D1" s="4"/>
      <c r="E1" s="4"/>
      <c r="F1" s="4"/>
      <c r="G1" s="4"/>
      <c r="H1" s="4"/>
      <c r="I1" s="6"/>
      <c r="J1" s="320"/>
      <c r="K1" s="320"/>
      <c r="L1" s="320"/>
      <c r="M1" s="320"/>
      <c r="N1" s="320"/>
      <c r="O1" s="320"/>
      <c r="P1" s="320"/>
      <c r="Q1" s="320"/>
      <c r="R1" s="550" t="s">
        <v>359</v>
      </c>
      <c r="S1" s="547"/>
      <c r="T1" s="320"/>
      <c r="U1" s="320"/>
    </row>
    <row r="2" spans="1:23" ht="19.5" customHeight="1" x14ac:dyDescent="0.4">
      <c r="A2" s="4"/>
      <c r="B2" s="4"/>
      <c r="C2" s="5"/>
      <c r="D2" s="4"/>
      <c r="E2" s="4"/>
      <c r="F2" s="4"/>
      <c r="G2" s="4"/>
      <c r="H2" s="4"/>
      <c r="I2" s="4"/>
      <c r="J2" s="321"/>
      <c r="K2" s="529"/>
      <c r="L2" s="529"/>
      <c r="M2" s="529"/>
      <c r="N2" s="529"/>
      <c r="O2" s="529"/>
      <c r="P2" s="529"/>
      <c r="Q2" s="529"/>
      <c r="R2" s="550" t="s">
        <v>360</v>
      </c>
      <c r="S2" s="547"/>
      <c r="T2" s="529"/>
      <c r="U2" s="529"/>
    </row>
    <row r="3" spans="1:23" ht="19.5" customHeight="1" x14ac:dyDescent="0.4">
      <c r="A3" s="4"/>
      <c r="B3" s="4"/>
      <c r="C3" s="5"/>
      <c r="D3" s="4"/>
      <c r="E3" s="4"/>
      <c r="F3" s="4"/>
      <c r="G3" s="4"/>
      <c r="H3" s="4"/>
      <c r="I3" s="4"/>
      <c r="J3" s="321"/>
      <c r="K3" s="551"/>
      <c r="L3" s="551"/>
      <c r="M3" s="551"/>
      <c r="N3" s="551"/>
      <c r="O3" s="551"/>
      <c r="P3" s="551"/>
      <c r="Q3" s="551"/>
      <c r="R3" s="550"/>
      <c r="S3" s="667" t="s">
        <v>446</v>
      </c>
      <c r="T3" s="668"/>
      <c r="U3" s="551"/>
    </row>
    <row r="4" spans="1:23" ht="57" customHeight="1" x14ac:dyDescent="0.3">
      <c r="A4" s="4"/>
      <c r="B4" s="4"/>
      <c r="C4" s="5"/>
      <c r="D4" s="4"/>
      <c r="E4" s="4"/>
      <c r="F4" s="4"/>
      <c r="G4" s="4"/>
      <c r="H4" s="4"/>
      <c r="I4" s="4"/>
      <c r="J4" s="529"/>
      <c r="K4" s="529"/>
      <c r="L4" s="552"/>
      <c r="M4" s="553"/>
      <c r="N4" s="553"/>
      <c r="O4" s="553"/>
      <c r="P4" s="553"/>
      <c r="Q4" s="553"/>
      <c r="R4" s="553"/>
      <c r="S4" s="553"/>
      <c r="T4" s="553"/>
      <c r="U4" s="553"/>
    </row>
    <row r="5" spans="1:23" ht="15.75" customHeight="1" x14ac:dyDescent="0.3">
      <c r="A5" s="4"/>
      <c r="B5" s="4"/>
      <c r="C5" s="5"/>
      <c r="D5" s="4"/>
      <c r="E5" s="4"/>
      <c r="F5" s="4"/>
      <c r="G5" s="4"/>
      <c r="H5" s="4"/>
      <c r="I5" s="4"/>
      <c r="J5" s="530"/>
      <c r="K5" s="530"/>
      <c r="L5" s="530"/>
      <c r="M5" s="554"/>
      <c r="N5" s="554"/>
      <c r="O5" s="555"/>
      <c r="P5" s="555"/>
      <c r="Q5" s="555"/>
      <c r="R5" s="555"/>
      <c r="S5" s="555"/>
      <c r="T5" s="555"/>
      <c r="U5" s="555"/>
    </row>
    <row r="6" spans="1:23" ht="53.25" customHeight="1" x14ac:dyDescent="0.4">
      <c r="A6" s="556" t="s">
        <v>440</v>
      </c>
      <c r="B6" s="556"/>
      <c r="C6" s="556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6"/>
      <c r="O6" s="556"/>
      <c r="P6" s="556"/>
      <c r="Q6" s="556"/>
      <c r="R6" s="556"/>
      <c r="S6" s="556"/>
      <c r="T6" s="556"/>
      <c r="U6" s="556"/>
    </row>
    <row r="8" spans="1:23" ht="12.75" customHeight="1" x14ac:dyDescent="0.2">
      <c r="A8" s="557" t="s">
        <v>1</v>
      </c>
      <c r="B8" s="558" t="s">
        <v>2</v>
      </c>
      <c r="C8" s="557" t="s">
        <v>3</v>
      </c>
      <c r="D8" s="557" t="s">
        <v>4</v>
      </c>
      <c r="E8" s="557" t="s">
        <v>5</v>
      </c>
      <c r="F8" s="557" t="s">
        <v>399</v>
      </c>
      <c r="G8" s="558" t="s">
        <v>7</v>
      </c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</row>
    <row r="9" spans="1:23" ht="12.75" x14ac:dyDescent="0.2">
      <c r="A9" s="557"/>
      <c r="B9" s="558"/>
      <c r="C9" s="557"/>
      <c r="D9" s="557"/>
      <c r="E9" s="557"/>
      <c r="F9" s="557"/>
      <c r="G9" s="558"/>
      <c r="H9" s="558"/>
      <c r="I9" s="558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58"/>
      <c r="U9" s="558"/>
    </row>
    <row r="10" spans="1:23" ht="12.75" customHeight="1" x14ac:dyDescent="0.2">
      <c r="A10" s="557"/>
      <c r="B10" s="558"/>
      <c r="C10" s="557"/>
      <c r="D10" s="557"/>
      <c r="E10" s="557"/>
      <c r="F10" s="557"/>
      <c r="G10" s="558">
        <v>2016</v>
      </c>
      <c r="H10" s="558">
        <v>2017</v>
      </c>
      <c r="I10" s="558">
        <v>2018</v>
      </c>
      <c r="J10" s="558">
        <v>2019</v>
      </c>
      <c r="K10" s="558">
        <v>2020</v>
      </c>
      <c r="L10" s="558">
        <v>2021</v>
      </c>
      <c r="M10" s="558">
        <v>2022</v>
      </c>
      <c r="N10" s="558" t="s">
        <v>388</v>
      </c>
      <c r="O10" s="558">
        <v>2023</v>
      </c>
      <c r="P10" s="558">
        <v>2024</v>
      </c>
      <c r="Q10" s="558">
        <v>2025</v>
      </c>
      <c r="R10" s="558">
        <v>2026</v>
      </c>
      <c r="S10" s="558">
        <v>2027</v>
      </c>
      <c r="T10" s="558">
        <v>2028</v>
      </c>
      <c r="U10" s="558" t="s">
        <v>8</v>
      </c>
    </row>
    <row r="11" spans="1:23" ht="20.25" customHeight="1" x14ac:dyDescent="0.2">
      <c r="A11" s="557"/>
      <c r="B11" s="558"/>
      <c r="C11" s="557"/>
      <c r="D11" s="557"/>
      <c r="E11" s="557"/>
      <c r="F11" s="557"/>
      <c r="G11" s="558"/>
      <c r="H11" s="558"/>
      <c r="I11" s="558"/>
      <c r="J11" s="558"/>
      <c r="K11" s="558"/>
      <c r="L11" s="558"/>
      <c r="M11" s="558"/>
      <c r="N11" s="558"/>
      <c r="O11" s="558"/>
      <c r="P11" s="558"/>
      <c r="Q11" s="558"/>
      <c r="R11" s="558"/>
      <c r="S11" s="558"/>
      <c r="T11" s="558"/>
      <c r="U11" s="558"/>
    </row>
    <row r="12" spans="1:23" ht="21" hidden="1" customHeight="1" x14ac:dyDescent="0.2">
      <c r="A12" s="545">
        <v>1</v>
      </c>
      <c r="B12" s="545">
        <v>2</v>
      </c>
      <c r="C12" s="545">
        <v>3</v>
      </c>
      <c r="D12" s="545">
        <v>4</v>
      </c>
      <c r="E12" s="545">
        <v>5</v>
      </c>
      <c r="F12" s="546">
        <v>6</v>
      </c>
      <c r="G12" s="546"/>
      <c r="H12" s="546"/>
      <c r="I12" s="546"/>
      <c r="J12" s="546"/>
      <c r="K12" s="546"/>
      <c r="L12" s="546"/>
      <c r="M12" s="546"/>
      <c r="N12" s="546">
        <v>7</v>
      </c>
      <c r="O12" s="546">
        <v>8</v>
      </c>
      <c r="P12" s="546">
        <v>9</v>
      </c>
      <c r="Q12" s="546">
        <v>10</v>
      </c>
      <c r="R12" s="546">
        <v>11</v>
      </c>
      <c r="S12" s="546">
        <v>12</v>
      </c>
      <c r="T12" s="546">
        <v>13</v>
      </c>
      <c r="U12" s="546">
        <v>14</v>
      </c>
    </row>
    <row r="13" spans="1:23" s="17" customFormat="1" ht="57" hidden="1" customHeight="1" x14ac:dyDescent="0.2">
      <c r="A13" s="11">
        <v>1</v>
      </c>
      <c r="B13" s="512" t="s">
        <v>9</v>
      </c>
      <c r="C13" s="12" t="s">
        <v>10</v>
      </c>
      <c r="D13" s="13" t="s">
        <v>11</v>
      </c>
      <c r="E13" s="510" t="s">
        <v>400</v>
      </c>
      <c r="F13" s="55" t="s">
        <v>13</v>
      </c>
      <c r="G13" s="15">
        <v>73702.679999999993</v>
      </c>
      <c r="H13" s="15">
        <f>94537.8+830</f>
        <v>95367.8</v>
      </c>
      <c r="I13" s="15">
        <v>114042.5</v>
      </c>
      <c r="J13" s="15">
        <v>143546.20000000001</v>
      </c>
      <c r="K13" s="15">
        <v>227890.4</v>
      </c>
      <c r="L13" s="15">
        <f>59251.7+11539-1500+103.7+3900</f>
        <v>73294.399999999994</v>
      </c>
      <c r="M13" s="15">
        <v>0</v>
      </c>
      <c r="N13" s="15">
        <f>G13+H13+I13+J13+K13+L13+M13</f>
        <v>727843.98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f>SUM(G13:T13)-N13</f>
        <v>727843.98</v>
      </c>
      <c r="V13" s="16">
        <f t="shared" ref="V13:V76" si="0">G13+H13+I13+J13+K13+L13+M13+O13+P13+Q13+R13+S13+T13-U13</f>
        <v>0</v>
      </c>
      <c r="W13" s="16">
        <f>N13+O13-'додаток сесія_2024_2028_161 (2'!O12</f>
        <v>0</v>
      </c>
    </row>
    <row r="14" spans="1:23" s="17" customFormat="1" ht="110.25" hidden="1" customHeight="1" x14ac:dyDescent="0.2">
      <c r="A14" s="18"/>
      <c r="B14" s="200"/>
      <c r="C14" s="12" t="s">
        <v>14</v>
      </c>
      <c r="D14" s="13" t="s">
        <v>15</v>
      </c>
      <c r="E14" s="511"/>
      <c r="F14" s="55" t="s">
        <v>13</v>
      </c>
      <c r="G14" s="15">
        <v>9960</v>
      </c>
      <c r="H14" s="15">
        <v>9960</v>
      </c>
      <c r="I14" s="15">
        <v>400</v>
      </c>
      <c r="J14" s="15">
        <v>2102.1999999999998</v>
      </c>
      <c r="K14" s="15">
        <v>20800</v>
      </c>
      <c r="L14" s="15">
        <v>0</v>
      </c>
      <c r="M14" s="15">
        <v>0</v>
      </c>
      <c r="N14" s="15">
        <f t="shared" ref="N14:N77" si="1">G14+H14+I14+J14+K14+L14+M14</f>
        <v>43222.2</v>
      </c>
      <c r="O14" s="15">
        <f>0+5200</f>
        <v>5200</v>
      </c>
      <c r="P14" s="15">
        <v>5600</v>
      </c>
      <c r="Q14" s="15">
        <v>7000</v>
      </c>
      <c r="R14" s="15">
        <v>8000</v>
      </c>
      <c r="S14" s="15">
        <v>9000</v>
      </c>
      <c r="T14" s="15">
        <v>10000</v>
      </c>
      <c r="U14" s="15">
        <f t="shared" ref="U14:U77" si="2">SUM(G14:T14)-N14</f>
        <v>88022.2</v>
      </c>
      <c r="V14" s="16">
        <f t="shared" si="0"/>
        <v>0</v>
      </c>
      <c r="W14" s="16">
        <f>N14+O14-'додаток сесія_2024_2028_161 (2'!O13</f>
        <v>0</v>
      </c>
    </row>
    <row r="15" spans="1:23" s="17" customFormat="1" ht="48.75" hidden="1" customHeight="1" x14ac:dyDescent="0.2">
      <c r="A15" s="18"/>
      <c r="B15" s="19"/>
      <c r="C15" s="12" t="s">
        <v>16</v>
      </c>
      <c r="D15" s="13" t="s">
        <v>15</v>
      </c>
      <c r="E15" s="511"/>
      <c r="F15" s="55" t="s">
        <v>13</v>
      </c>
      <c r="G15" s="15">
        <v>17132.7</v>
      </c>
      <c r="H15" s="20">
        <v>15000</v>
      </c>
      <c r="I15" s="20">
        <v>8150</v>
      </c>
      <c r="J15" s="20">
        <v>7800</v>
      </c>
      <c r="K15" s="20">
        <v>13000</v>
      </c>
      <c r="L15" s="20">
        <v>12500</v>
      </c>
      <c r="M15" s="20">
        <v>13750</v>
      </c>
      <c r="N15" s="15">
        <f t="shared" si="1"/>
        <v>87332.7</v>
      </c>
      <c r="O15" s="20">
        <f>15125-5200</f>
        <v>9925</v>
      </c>
      <c r="P15" s="20">
        <v>0</v>
      </c>
      <c r="Q15" s="20">
        <v>20000</v>
      </c>
      <c r="R15" s="20">
        <v>22000</v>
      </c>
      <c r="S15" s="20">
        <v>18000</v>
      </c>
      <c r="T15" s="20">
        <v>20000</v>
      </c>
      <c r="U15" s="15">
        <f t="shared" si="2"/>
        <v>177257.7</v>
      </c>
      <c r="V15" s="16">
        <f t="shared" si="0"/>
        <v>0</v>
      </c>
      <c r="W15" s="16">
        <f>N15+O15-'додаток сесія_2024_2028_161 (2'!O14</f>
        <v>0</v>
      </c>
    </row>
    <row r="16" spans="1:23" s="17" customFormat="1" ht="46.5" hidden="1" customHeight="1" x14ac:dyDescent="0.2">
      <c r="A16" s="18"/>
      <c r="B16" s="19"/>
      <c r="C16" s="12" t="s">
        <v>17</v>
      </c>
      <c r="D16" s="13" t="s">
        <v>18</v>
      </c>
      <c r="E16" s="511"/>
      <c r="F16" s="55" t="s">
        <v>13</v>
      </c>
      <c r="G16" s="15">
        <v>100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>
        <f t="shared" si="1"/>
        <v>100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5">
        <f t="shared" si="2"/>
        <v>100</v>
      </c>
      <c r="V16" s="16">
        <f t="shared" si="0"/>
        <v>0</v>
      </c>
      <c r="W16" s="16">
        <f>N16+O16-'додаток сесія_2024_2028_161 (2'!O15</f>
        <v>0</v>
      </c>
    </row>
    <row r="17" spans="1:23" s="17" customFormat="1" ht="46.5" hidden="1" customHeight="1" x14ac:dyDescent="0.2">
      <c r="A17" s="18"/>
      <c r="B17" s="19"/>
      <c r="C17" s="12" t="s">
        <v>19</v>
      </c>
      <c r="D17" s="13" t="s">
        <v>18</v>
      </c>
      <c r="E17" s="511"/>
      <c r="F17" s="55" t="s">
        <v>13</v>
      </c>
      <c r="G17" s="15">
        <v>290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>
        <f t="shared" si="1"/>
        <v>290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5">
        <f t="shared" si="2"/>
        <v>290</v>
      </c>
      <c r="V17" s="16">
        <f t="shared" si="0"/>
        <v>0</v>
      </c>
      <c r="W17" s="16">
        <f>N17+O17-'додаток сесія_2024_2028_161 (2'!O16</f>
        <v>0</v>
      </c>
    </row>
    <row r="18" spans="1:23" s="17" customFormat="1" ht="42.75" hidden="1" customHeight="1" x14ac:dyDescent="0.2">
      <c r="A18" s="18"/>
      <c r="B18" s="19"/>
      <c r="C18" s="12" t="s">
        <v>20</v>
      </c>
      <c r="D18" s="13" t="s">
        <v>18</v>
      </c>
      <c r="E18" s="511"/>
      <c r="F18" s="55" t="s">
        <v>13</v>
      </c>
      <c r="G18" s="15">
        <v>60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15">
        <f t="shared" si="1"/>
        <v>60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5">
        <f t="shared" si="2"/>
        <v>60</v>
      </c>
      <c r="V18" s="16">
        <f t="shared" si="0"/>
        <v>0</v>
      </c>
      <c r="W18" s="16">
        <f>N18+O18-'додаток сесія_2024_2028_161 (2'!O17</f>
        <v>0</v>
      </c>
    </row>
    <row r="19" spans="1:23" s="17" customFormat="1" ht="44.25" hidden="1" customHeight="1" x14ac:dyDescent="0.2">
      <c r="A19" s="18"/>
      <c r="B19" s="19"/>
      <c r="C19" s="12" t="s">
        <v>21</v>
      </c>
      <c r="D19" s="13" t="s">
        <v>18</v>
      </c>
      <c r="E19" s="511"/>
      <c r="F19" s="55" t="s">
        <v>13</v>
      </c>
      <c r="G19" s="15">
        <v>100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5">
        <f t="shared" si="1"/>
        <v>100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15">
        <f t="shared" si="2"/>
        <v>100</v>
      </c>
      <c r="V19" s="16">
        <f t="shared" si="0"/>
        <v>0</v>
      </c>
      <c r="W19" s="16">
        <f>N19+O19-'додаток сесія_2024_2028_161 (2'!O18</f>
        <v>0</v>
      </c>
    </row>
    <row r="20" spans="1:23" s="17" customFormat="1" ht="42" hidden="1" customHeight="1" x14ac:dyDescent="0.2">
      <c r="A20" s="18"/>
      <c r="B20" s="19"/>
      <c r="C20" s="12" t="s">
        <v>22</v>
      </c>
      <c r="D20" s="13" t="s">
        <v>15</v>
      </c>
      <c r="E20" s="531"/>
      <c r="F20" s="55" t="s">
        <v>13</v>
      </c>
      <c r="G20" s="20">
        <v>0</v>
      </c>
      <c r="H20" s="20">
        <v>3500</v>
      </c>
      <c r="I20" s="20">
        <v>1200</v>
      </c>
      <c r="J20" s="20">
        <v>20000</v>
      </c>
      <c r="K20" s="20">
        <v>12050</v>
      </c>
      <c r="L20" s="20">
        <v>15500</v>
      </c>
      <c r="M20" s="20">
        <v>3850</v>
      </c>
      <c r="N20" s="15">
        <f t="shared" si="1"/>
        <v>56100</v>
      </c>
      <c r="O20" s="20">
        <v>4235</v>
      </c>
      <c r="P20" s="20">
        <v>0</v>
      </c>
      <c r="Q20" s="20">
        <v>3500</v>
      </c>
      <c r="R20" s="20">
        <v>4000</v>
      </c>
      <c r="S20" s="20">
        <v>4500</v>
      </c>
      <c r="T20" s="20">
        <v>5000</v>
      </c>
      <c r="U20" s="15">
        <f t="shared" si="2"/>
        <v>77335</v>
      </c>
      <c r="V20" s="16">
        <f t="shared" si="0"/>
        <v>0</v>
      </c>
      <c r="W20" s="16">
        <f>N20+O20-'додаток сесія_2024_2028_161 (2'!O19</f>
        <v>0</v>
      </c>
    </row>
    <row r="21" spans="1:23" s="17" customFormat="1" ht="46.5" hidden="1" customHeight="1" x14ac:dyDescent="0.2">
      <c r="A21" s="22"/>
      <c r="B21" s="19"/>
      <c r="C21" s="12" t="s">
        <v>23</v>
      </c>
      <c r="D21" s="23" t="s">
        <v>18</v>
      </c>
      <c r="E21" s="473"/>
      <c r="F21" s="55" t="s">
        <v>13</v>
      </c>
      <c r="G21" s="20">
        <v>0</v>
      </c>
      <c r="H21" s="20">
        <v>200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>
        <f t="shared" si="1"/>
        <v>200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5">
        <f t="shared" si="2"/>
        <v>200</v>
      </c>
      <c r="V21" s="16">
        <f t="shared" si="0"/>
        <v>0</v>
      </c>
      <c r="W21" s="16">
        <f>N21+O21-'додаток сесія_2024_2028_161 (2'!O20</f>
        <v>0</v>
      </c>
    </row>
    <row r="22" spans="1:23" s="17" customFormat="1" ht="43.5" hidden="1" customHeight="1" x14ac:dyDescent="0.2">
      <c r="A22" s="18"/>
      <c r="B22" s="18"/>
      <c r="C22" s="12" t="s">
        <v>24</v>
      </c>
      <c r="D22" s="13" t="s">
        <v>18</v>
      </c>
      <c r="E22" s="473"/>
      <c r="F22" s="55" t="s">
        <v>13</v>
      </c>
      <c r="G22" s="20">
        <v>0</v>
      </c>
      <c r="H22" s="15">
        <v>60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5">
        <f t="shared" si="1"/>
        <v>60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5">
        <f t="shared" si="2"/>
        <v>60</v>
      </c>
      <c r="V22" s="16">
        <f t="shared" si="0"/>
        <v>0</v>
      </c>
      <c r="W22" s="16">
        <f>N22+O22-'додаток сесія_2024_2028_161 (2'!O21</f>
        <v>0</v>
      </c>
    </row>
    <row r="23" spans="1:23" s="17" customFormat="1" ht="54.75" hidden="1" customHeight="1" x14ac:dyDescent="0.2">
      <c r="A23" s="18"/>
      <c r="B23" s="323"/>
      <c r="C23" s="25" t="s">
        <v>25</v>
      </c>
      <c r="D23" s="23" t="s">
        <v>18</v>
      </c>
      <c r="E23" s="473"/>
      <c r="F23" s="55" t="s">
        <v>13</v>
      </c>
      <c r="G23" s="20">
        <v>0</v>
      </c>
      <c r="H23" s="15">
        <v>150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15">
        <f t="shared" si="1"/>
        <v>150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15">
        <f t="shared" si="2"/>
        <v>150</v>
      </c>
      <c r="V23" s="16">
        <f t="shared" si="0"/>
        <v>0</v>
      </c>
      <c r="W23" s="16">
        <f>N23+O23-'додаток сесія_2024_2028_161 (2'!O22</f>
        <v>0</v>
      </c>
    </row>
    <row r="24" spans="1:23" s="17" customFormat="1" ht="44.25" hidden="1" customHeight="1" x14ac:dyDescent="0.2">
      <c r="A24" s="18"/>
      <c r="B24" s="18"/>
      <c r="C24" s="27" t="s">
        <v>26</v>
      </c>
      <c r="D24" s="28" t="s">
        <v>18</v>
      </c>
      <c r="E24" s="473"/>
      <c r="F24" s="55" t="s">
        <v>13</v>
      </c>
      <c r="G24" s="20">
        <v>0</v>
      </c>
      <c r="H24" s="15">
        <v>150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15">
        <f t="shared" si="1"/>
        <v>150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15">
        <f t="shared" si="2"/>
        <v>150</v>
      </c>
      <c r="V24" s="16">
        <f t="shared" si="0"/>
        <v>0</v>
      </c>
      <c r="W24" s="16">
        <f>N24+O24-'додаток сесія_2024_2028_161 (2'!O23</f>
        <v>0</v>
      </c>
    </row>
    <row r="25" spans="1:23" s="17" customFormat="1" ht="47.25" hidden="1" customHeight="1" x14ac:dyDescent="0.2">
      <c r="A25" s="18"/>
      <c r="B25" s="30"/>
      <c r="C25" s="12" t="s">
        <v>27</v>
      </c>
      <c r="D25" s="13" t="s">
        <v>15</v>
      </c>
      <c r="E25" s="473"/>
      <c r="F25" s="55" t="s">
        <v>13</v>
      </c>
      <c r="G25" s="20">
        <v>0</v>
      </c>
      <c r="H25" s="15">
        <v>5500</v>
      </c>
      <c r="I25" s="15">
        <v>42900</v>
      </c>
      <c r="J25" s="15">
        <v>11871.2</v>
      </c>
      <c r="K25" s="15">
        <v>11940.3</v>
      </c>
      <c r="L25" s="15">
        <v>6000</v>
      </c>
      <c r="M25" s="15">
        <v>0</v>
      </c>
      <c r="N25" s="15">
        <f t="shared" si="1"/>
        <v>78211.5</v>
      </c>
      <c r="O25" s="15">
        <v>0</v>
      </c>
      <c r="P25" s="15">
        <v>0</v>
      </c>
      <c r="Q25" s="15">
        <v>5000</v>
      </c>
      <c r="R25" s="15">
        <v>5000</v>
      </c>
      <c r="S25" s="15">
        <v>0</v>
      </c>
      <c r="T25" s="15">
        <v>0</v>
      </c>
      <c r="U25" s="15">
        <f t="shared" si="2"/>
        <v>88211.5</v>
      </c>
      <c r="V25" s="16">
        <f t="shared" si="0"/>
        <v>0</v>
      </c>
      <c r="W25" s="16">
        <f>N25+O25-'додаток сесія_2024_2028_161 (2'!O24</f>
        <v>0</v>
      </c>
    </row>
    <row r="26" spans="1:23" s="17" customFormat="1" ht="49.5" hidden="1" customHeight="1" x14ac:dyDescent="0.2">
      <c r="A26" s="325"/>
      <c r="B26" s="32"/>
      <c r="C26" s="12" t="s">
        <v>28</v>
      </c>
      <c r="D26" s="13" t="s">
        <v>29</v>
      </c>
      <c r="E26" s="474"/>
      <c r="F26" s="55" t="s">
        <v>13</v>
      </c>
      <c r="G26" s="15">
        <v>2000</v>
      </c>
      <c r="H26" s="15">
        <v>2000</v>
      </c>
      <c r="I26" s="15">
        <v>3250</v>
      </c>
      <c r="J26" s="15">
        <v>4600</v>
      </c>
      <c r="K26" s="15">
        <v>4000</v>
      </c>
      <c r="L26" s="15">
        <f>0+397.7</f>
        <v>397.7</v>
      </c>
      <c r="M26" s="15">
        <v>0</v>
      </c>
      <c r="N26" s="15">
        <f t="shared" si="1"/>
        <v>16247.7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f t="shared" si="2"/>
        <v>16247.7</v>
      </c>
      <c r="V26" s="16">
        <f t="shared" si="0"/>
        <v>0</v>
      </c>
      <c r="W26" s="16">
        <f>N26+O26-'додаток сесія_2024_2028_161 (2'!O25</f>
        <v>0</v>
      </c>
    </row>
    <row r="27" spans="1:23" s="17" customFormat="1" ht="47.25" hidden="1" customHeight="1" x14ac:dyDescent="0.2">
      <c r="A27" s="18"/>
      <c r="B27" s="30"/>
      <c r="C27" s="12" t="s">
        <v>30</v>
      </c>
      <c r="D27" s="13" t="s">
        <v>29</v>
      </c>
      <c r="E27" s="473"/>
      <c r="F27" s="55" t="s">
        <v>13</v>
      </c>
      <c r="G27" s="20">
        <v>100</v>
      </c>
      <c r="H27" s="15">
        <v>2000</v>
      </c>
      <c r="I27" s="15">
        <v>3100</v>
      </c>
      <c r="J27" s="15">
        <v>12000</v>
      </c>
      <c r="K27" s="15">
        <v>14573.5</v>
      </c>
      <c r="L27" s="15">
        <f>1017.3</f>
        <v>1017.3</v>
      </c>
      <c r="M27" s="15">
        <v>0</v>
      </c>
      <c r="N27" s="15">
        <f t="shared" si="1"/>
        <v>32790.800000000003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f t="shared" si="2"/>
        <v>32790.800000000003</v>
      </c>
      <c r="V27" s="16">
        <f t="shared" si="0"/>
        <v>0</v>
      </c>
      <c r="W27" s="16">
        <f>N27+O27-'додаток сесія_2024_2028_161 (2'!O26</f>
        <v>0</v>
      </c>
    </row>
    <row r="28" spans="1:23" s="17" customFormat="1" ht="45" hidden="1" customHeight="1" x14ac:dyDescent="0.2">
      <c r="A28" s="18"/>
      <c r="B28" s="30"/>
      <c r="C28" s="12" t="s">
        <v>31</v>
      </c>
      <c r="D28" s="13" t="s">
        <v>29</v>
      </c>
      <c r="E28" s="473"/>
      <c r="F28" s="55" t="s">
        <v>13</v>
      </c>
      <c r="G28" s="15">
        <v>1500</v>
      </c>
      <c r="H28" s="15">
        <v>1680</v>
      </c>
      <c r="I28" s="15">
        <v>1800</v>
      </c>
      <c r="J28" s="15">
        <v>3450</v>
      </c>
      <c r="K28" s="15">
        <v>3000</v>
      </c>
      <c r="L28" s="15">
        <f>0+1500+815.9</f>
        <v>2315.9</v>
      </c>
      <c r="M28" s="15">
        <v>0</v>
      </c>
      <c r="N28" s="15">
        <f t="shared" si="1"/>
        <v>13745.9</v>
      </c>
      <c r="O28" s="15">
        <f>2850.5</f>
        <v>2850.5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f t="shared" si="2"/>
        <v>16596.400000000001</v>
      </c>
      <c r="V28" s="16">
        <f t="shared" si="0"/>
        <v>0</v>
      </c>
      <c r="W28" s="16">
        <f>N28+O28-'додаток сесія_2024_2028_161 (2'!O27</f>
        <v>0</v>
      </c>
    </row>
    <row r="29" spans="1:23" s="17" customFormat="1" ht="66.75" hidden="1" customHeight="1" x14ac:dyDescent="0.2">
      <c r="A29" s="18"/>
      <c r="B29" s="30"/>
      <c r="C29" s="12" t="s">
        <v>401</v>
      </c>
      <c r="D29" s="13" t="s">
        <v>15</v>
      </c>
      <c r="E29" s="473"/>
      <c r="F29" s="55" t="s">
        <v>13</v>
      </c>
      <c r="G29" s="20">
        <v>0</v>
      </c>
      <c r="H29" s="15">
        <f>5650</f>
        <v>5650</v>
      </c>
      <c r="I29" s="15">
        <v>6800</v>
      </c>
      <c r="J29" s="15">
        <v>8000</v>
      </c>
      <c r="K29" s="15">
        <v>9500</v>
      </c>
      <c r="L29" s="15">
        <v>3500</v>
      </c>
      <c r="M29" s="15">
        <v>3850</v>
      </c>
      <c r="N29" s="15">
        <f t="shared" si="1"/>
        <v>37300</v>
      </c>
      <c r="O29" s="15">
        <f>4235-4235</f>
        <v>0</v>
      </c>
      <c r="P29" s="15">
        <v>0</v>
      </c>
      <c r="Q29" s="15">
        <v>7300</v>
      </c>
      <c r="R29" s="15">
        <v>8000</v>
      </c>
      <c r="S29" s="15">
        <v>8800</v>
      </c>
      <c r="T29" s="15">
        <v>10000</v>
      </c>
      <c r="U29" s="15">
        <f t="shared" si="2"/>
        <v>71400</v>
      </c>
      <c r="V29" s="16">
        <f t="shared" si="0"/>
        <v>0</v>
      </c>
      <c r="W29" s="16">
        <f>N29+O29-'додаток сесія_2024_2028_161 (2'!O28</f>
        <v>0</v>
      </c>
    </row>
    <row r="30" spans="1:23" s="17" customFormat="1" ht="72" hidden="1" customHeight="1" x14ac:dyDescent="0.2">
      <c r="A30" s="22"/>
      <c r="B30" s="30"/>
      <c r="C30" s="12" t="s">
        <v>389</v>
      </c>
      <c r="D30" s="23" t="s">
        <v>29</v>
      </c>
      <c r="E30" s="473"/>
      <c r="F30" s="55" t="s">
        <v>13</v>
      </c>
      <c r="G30" s="20">
        <v>0</v>
      </c>
      <c r="H30" s="15">
        <v>9116.2999999999993</v>
      </c>
      <c r="I30" s="20">
        <v>0</v>
      </c>
      <c r="J30" s="20">
        <v>200</v>
      </c>
      <c r="K30" s="20">
        <v>14000</v>
      </c>
      <c r="L30" s="20">
        <v>9713.6</v>
      </c>
      <c r="M30" s="20">
        <v>0</v>
      </c>
      <c r="N30" s="15">
        <f t="shared" si="1"/>
        <v>33029.9</v>
      </c>
      <c r="O30" s="20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f t="shared" si="2"/>
        <v>33029.9</v>
      </c>
      <c r="V30" s="16">
        <f t="shared" si="0"/>
        <v>0</v>
      </c>
      <c r="W30" s="16">
        <f>N30+O30-'додаток сесія_2024_2028_161 (2'!O29</f>
        <v>0</v>
      </c>
    </row>
    <row r="31" spans="1:23" s="17" customFormat="1" ht="54.75" hidden="1" customHeight="1" x14ac:dyDescent="0.2">
      <c r="A31" s="22"/>
      <c r="B31" s="31"/>
      <c r="C31" s="12" t="s">
        <v>394</v>
      </c>
      <c r="D31" s="13" t="s">
        <v>15</v>
      </c>
      <c r="E31" s="473"/>
      <c r="F31" s="55" t="s">
        <v>13</v>
      </c>
      <c r="G31" s="20">
        <v>0</v>
      </c>
      <c r="H31" s="20">
        <v>0</v>
      </c>
      <c r="I31" s="15">
        <v>10000</v>
      </c>
      <c r="J31" s="20">
        <v>0</v>
      </c>
      <c r="K31" s="20">
        <v>0</v>
      </c>
      <c r="L31" s="20">
        <v>16000</v>
      </c>
      <c r="M31" s="20">
        <v>0</v>
      </c>
      <c r="N31" s="15">
        <f t="shared" si="1"/>
        <v>26000</v>
      </c>
      <c r="O31" s="20">
        <v>0</v>
      </c>
      <c r="P31" s="20">
        <v>0</v>
      </c>
      <c r="Q31" s="20">
        <v>40000</v>
      </c>
      <c r="R31" s="20">
        <v>0</v>
      </c>
      <c r="S31" s="20">
        <v>0</v>
      </c>
      <c r="T31" s="20">
        <v>0</v>
      </c>
      <c r="U31" s="15">
        <f t="shared" si="2"/>
        <v>66000</v>
      </c>
      <c r="V31" s="16">
        <f t="shared" si="0"/>
        <v>0</v>
      </c>
      <c r="W31" s="16">
        <f>N31+O31-'додаток сесія_2024_2028_161 (2'!O30</f>
        <v>0</v>
      </c>
    </row>
    <row r="32" spans="1:23" s="17" customFormat="1" ht="71.25" hidden="1" customHeight="1" x14ac:dyDescent="0.2">
      <c r="A32" s="22"/>
      <c r="B32" s="31"/>
      <c r="C32" s="12" t="s">
        <v>35</v>
      </c>
      <c r="D32" s="13" t="s">
        <v>29</v>
      </c>
      <c r="E32" s="473"/>
      <c r="F32" s="55" t="s">
        <v>13</v>
      </c>
      <c r="G32" s="20">
        <v>0</v>
      </c>
      <c r="H32" s="20">
        <v>0</v>
      </c>
      <c r="I32" s="20">
        <v>0</v>
      </c>
      <c r="J32" s="20">
        <v>2425</v>
      </c>
      <c r="K32" s="20">
        <v>1275</v>
      </c>
      <c r="L32" s="20">
        <v>286.39999999999998</v>
      </c>
      <c r="M32" s="20">
        <v>0</v>
      </c>
      <c r="N32" s="15">
        <f t="shared" si="1"/>
        <v>3986.4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15">
        <f t="shared" si="2"/>
        <v>3986.4</v>
      </c>
      <c r="V32" s="16">
        <f t="shared" si="0"/>
        <v>0</v>
      </c>
      <c r="W32" s="16">
        <f>N32+O32-'додаток сесія_2024_2028_161 (2'!O31</f>
        <v>0</v>
      </c>
    </row>
    <row r="33" spans="1:23" s="17" customFormat="1" ht="60.75" hidden="1" customHeight="1" x14ac:dyDescent="0.2">
      <c r="A33" s="18"/>
      <c r="B33" s="30"/>
      <c r="C33" s="25" t="s">
        <v>395</v>
      </c>
      <c r="D33" s="23" t="s">
        <v>15</v>
      </c>
      <c r="E33" s="473"/>
      <c r="F33" s="55" t="s">
        <v>13</v>
      </c>
      <c r="G33" s="20">
        <v>0</v>
      </c>
      <c r="H33" s="20">
        <v>0</v>
      </c>
      <c r="I33" s="15">
        <v>10000</v>
      </c>
      <c r="J33" s="20">
        <v>0</v>
      </c>
      <c r="K33" s="20">
        <v>0</v>
      </c>
      <c r="L33" s="20">
        <v>0</v>
      </c>
      <c r="M33" s="20">
        <f>16000-16000</f>
        <v>0</v>
      </c>
      <c r="N33" s="15">
        <f t="shared" si="1"/>
        <v>10000</v>
      </c>
      <c r="O33" s="20">
        <v>0</v>
      </c>
      <c r="P33" s="20">
        <v>0</v>
      </c>
      <c r="Q33" s="20">
        <v>0</v>
      </c>
      <c r="R33" s="20">
        <v>50000</v>
      </c>
      <c r="S33" s="20">
        <v>0</v>
      </c>
      <c r="T33" s="20">
        <v>0</v>
      </c>
      <c r="U33" s="15">
        <f t="shared" si="2"/>
        <v>60000</v>
      </c>
      <c r="V33" s="16">
        <f t="shared" si="0"/>
        <v>0</v>
      </c>
      <c r="W33" s="16">
        <f>N33+O33-'додаток сесія_2024_2028_161 (2'!O32</f>
        <v>0</v>
      </c>
    </row>
    <row r="34" spans="1:23" s="17" customFormat="1" ht="68.25" hidden="1" customHeight="1" x14ac:dyDescent="0.2">
      <c r="A34" s="18"/>
      <c r="B34" s="30"/>
      <c r="C34" s="33" t="s">
        <v>37</v>
      </c>
      <c r="D34" s="28" t="s">
        <v>15</v>
      </c>
      <c r="E34" s="473"/>
      <c r="F34" s="55" t="s">
        <v>13</v>
      </c>
      <c r="G34" s="20">
        <v>0</v>
      </c>
      <c r="H34" s="20">
        <v>0</v>
      </c>
      <c r="I34" s="20">
        <v>0</v>
      </c>
      <c r="J34" s="15">
        <v>8000</v>
      </c>
      <c r="K34" s="20">
        <v>0</v>
      </c>
      <c r="L34" s="20">
        <v>0</v>
      </c>
      <c r="M34" s="20">
        <v>4000</v>
      </c>
      <c r="N34" s="15">
        <f t="shared" si="1"/>
        <v>12000</v>
      </c>
      <c r="O34" s="20">
        <f>18000-18000</f>
        <v>0</v>
      </c>
      <c r="P34" s="20">
        <v>0</v>
      </c>
      <c r="Q34" s="20">
        <v>0</v>
      </c>
      <c r="R34" s="20">
        <v>0</v>
      </c>
      <c r="S34" s="20">
        <v>0</v>
      </c>
      <c r="T34" s="20">
        <v>80000</v>
      </c>
      <c r="U34" s="15">
        <f t="shared" si="2"/>
        <v>92000</v>
      </c>
      <c r="V34" s="16">
        <f t="shared" si="0"/>
        <v>0</v>
      </c>
      <c r="W34" s="16">
        <f>N34+O34-'додаток сесія_2024_2028_161 (2'!O33</f>
        <v>0</v>
      </c>
    </row>
    <row r="35" spans="1:23" s="17" customFormat="1" ht="83.25" hidden="1" customHeight="1" x14ac:dyDescent="0.2">
      <c r="A35" s="22"/>
      <c r="B35" s="30"/>
      <c r="C35" s="34" t="s">
        <v>38</v>
      </c>
      <c r="D35" s="23" t="s">
        <v>15</v>
      </c>
      <c r="E35" s="473"/>
      <c r="F35" s="55" t="s">
        <v>13</v>
      </c>
      <c r="G35" s="20">
        <v>0</v>
      </c>
      <c r="H35" s="20">
        <v>0</v>
      </c>
      <c r="I35" s="20">
        <v>0</v>
      </c>
      <c r="J35" s="20">
        <v>0</v>
      </c>
      <c r="K35" s="15">
        <v>10000</v>
      </c>
      <c r="L35" s="15">
        <v>0</v>
      </c>
      <c r="M35" s="15">
        <v>0</v>
      </c>
      <c r="N35" s="15">
        <f t="shared" si="1"/>
        <v>10000</v>
      </c>
      <c r="O35" s="15">
        <v>16000</v>
      </c>
      <c r="P35" s="15">
        <v>0</v>
      </c>
      <c r="Q35" s="15">
        <v>0</v>
      </c>
      <c r="R35" s="15">
        <v>0</v>
      </c>
      <c r="S35" s="15">
        <v>60000</v>
      </c>
      <c r="T35" s="15">
        <v>0</v>
      </c>
      <c r="U35" s="15">
        <f t="shared" si="2"/>
        <v>86000</v>
      </c>
      <c r="V35" s="16">
        <f t="shared" si="0"/>
        <v>0</v>
      </c>
      <c r="W35" s="16">
        <f>N35+O35-'додаток сесія_2024_2028_161 (2'!O34</f>
        <v>0</v>
      </c>
    </row>
    <row r="36" spans="1:23" s="17" customFormat="1" ht="69.75" hidden="1" customHeight="1" x14ac:dyDescent="0.2">
      <c r="A36" s="574"/>
      <c r="B36" s="36"/>
      <c r="C36" s="37" t="s">
        <v>39</v>
      </c>
      <c r="D36" s="38" t="s">
        <v>15</v>
      </c>
      <c r="E36" s="18"/>
      <c r="F36" s="55" t="s">
        <v>13</v>
      </c>
      <c r="G36" s="20">
        <v>0</v>
      </c>
      <c r="H36" s="15">
        <f>5000-830</f>
        <v>4170</v>
      </c>
      <c r="I36" s="15">
        <v>2000</v>
      </c>
      <c r="J36" s="15">
        <v>2500</v>
      </c>
      <c r="K36" s="15">
        <v>0</v>
      </c>
      <c r="L36" s="15">
        <v>3500</v>
      </c>
      <c r="M36" s="15">
        <v>2000</v>
      </c>
      <c r="N36" s="15">
        <f t="shared" si="1"/>
        <v>14170</v>
      </c>
      <c r="O36" s="15">
        <f>2000-2000</f>
        <v>0</v>
      </c>
      <c r="P36" s="15">
        <v>0</v>
      </c>
      <c r="Q36" s="15">
        <v>0</v>
      </c>
      <c r="R36" s="15">
        <v>5000</v>
      </c>
      <c r="S36" s="15">
        <v>5000</v>
      </c>
      <c r="T36" s="15">
        <v>5000</v>
      </c>
      <c r="U36" s="15">
        <f t="shared" si="2"/>
        <v>29170</v>
      </c>
      <c r="V36" s="16">
        <f t="shared" si="0"/>
        <v>0</v>
      </c>
      <c r="W36" s="16">
        <f>N36+O36-'додаток сесія_2024_2028_161 (2'!O35</f>
        <v>0</v>
      </c>
    </row>
    <row r="37" spans="1:23" s="17" customFormat="1" ht="41.25" hidden="1" customHeight="1" x14ac:dyDescent="0.2">
      <c r="A37" s="575"/>
      <c r="B37" s="36"/>
      <c r="C37" s="39" t="s">
        <v>40</v>
      </c>
      <c r="D37" s="40" t="s">
        <v>29</v>
      </c>
      <c r="E37" s="18"/>
      <c r="F37" s="55" t="s">
        <v>13</v>
      </c>
      <c r="G37" s="15">
        <v>0</v>
      </c>
      <c r="H37" s="20">
        <v>60000</v>
      </c>
      <c r="I37" s="20">
        <v>0</v>
      </c>
      <c r="J37" s="20">
        <v>0</v>
      </c>
      <c r="K37" s="20">
        <v>0</v>
      </c>
      <c r="L37" s="20">
        <f>60000-1000-4500</f>
        <v>54500</v>
      </c>
      <c r="M37" s="20">
        <f>66000</f>
        <v>66000</v>
      </c>
      <c r="N37" s="15">
        <f t="shared" si="1"/>
        <v>180500</v>
      </c>
      <c r="O37" s="20">
        <f>72600-72600</f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15">
        <f t="shared" si="2"/>
        <v>180500</v>
      </c>
      <c r="V37" s="16">
        <f t="shared" si="0"/>
        <v>0</v>
      </c>
      <c r="W37" s="16">
        <f>N37+O37-'додаток сесія_2024_2028_161 (2'!O36</f>
        <v>0</v>
      </c>
    </row>
    <row r="38" spans="1:23" s="17" customFormat="1" ht="40.5" hidden="1" x14ac:dyDescent="0.2">
      <c r="A38" s="575"/>
      <c r="B38" s="36"/>
      <c r="C38" s="42" t="s">
        <v>41</v>
      </c>
      <c r="D38" s="14" t="s">
        <v>18</v>
      </c>
      <c r="E38" s="18"/>
      <c r="F38" s="55" t="s">
        <v>13</v>
      </c>
      <c r="G38" s="15">
        <f>30893.1-20000</f>
        <v>10893.099999999999</v>
      </c>
      <c r="H38" s="20">
        <v>0</v>
      </c>
      <c r="I38" s="20">
        <v>33783</v>
      </c>
      <c r="J38" s="20">
        <v>44021.8</v>
      </c>
      <c r="K38" s="20">
        <v>61825.56</v>
      </c>
      <c r="L38" s="20">
        <v>0</v>
      </c>
      <c r="M38" s="20">
        <v>0</v>
      </c>
      <c r="N38" s="15">
        <f t="shared" si="1"/>
        <v>150523.46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5">
        <f t="shared" si="2"/>
        <v>150523.46</v>
      </c>
      <c r="V38" s="16">
        <f t="shared" si="0"/>
        <v>0</v>
      </c>
      <c r="W38" s="16">
        <f>N38+O38-'додаток сесія_2024_2028_161 (2'!O37</f>
        <v>0</v>
      </c>
    </row>
    <row r="39" spans="1:23" s="17" customFormat="1" ht="57" hidden="1" customHeight="1" x14ac:dyDescent="0.2">
      <c r="A39" s="575"/>
      <c r="B39" s="36"/>
      <c r="C39" s="42" t="s">
        <v>42</v>
      </c>
      <c r="D39" s="14" t="s">
        <v>18</v>
      </c>
      <c r="E39" s="18"/>
      <c r="F39" s="55" t="s">
        <v>13</v>
      </c>
      <c r="G39" s="15">
        <v>0</v>
      </c>
      <c r="H39" s="20">
        <v>0</v>
      </c>
      <c r="I39" s="20">
        <v>3000</v>
      </c>
      <c r="J39" s="20">
        <v>2597.8000000000002</v>
      </c>
      <c r="K39" s="20">
        <v>1300</v>
      </c>
      <c r="L39" s="20">
        <v>0</v>
      </c>
      <c r="M39" s="20">
        <v>0</v>
      </c>
      <c r="N39" s="15">
        <f t="shared" si="1"/>
        <v>6897.8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15">
        <f t="shared" si="2"/>
        <v>6897.8</v>
      </c>
      <c r="V39" s="16">
        <f t="shared" si="0"/>
        <v>0</v>
      </c>
      <c r="W39" s="16">
        <f>N39+O39-'додаток сесія_2024_2028_161 (2'!O38</f>
        <v>0</v>
      </c>
    </row>
    <row r="40" spans="1:23" s="17" customFormat="1" ht="38.25" hidden="1" customHeight="1" x14ac:dyDescent="0.2">
      <c r="A40" s="22"/>
      <c r="B40" s="36"/>
      <c r="C40" s="37" t="s">
        <v>43</v>
      </c>
      <c r="D40" s="43" t="s">
        <v>44</v>
      </c>
      <c r="E40" s="22"/>
      <c r="F40" s="49" t="s">
        <v>13</v>
      </c>
      <c r="G40" s="52">
        <f t="shared" ref="G40:T40" si="3">SUM(G42:G55)</f>
        <v>0</v>
      </c>
      <c r="H40" s="52">
        <f t="shared" si="3"/>
        <v>0</v>
      </c>
      <c r="I40" s="52">
        <f t="shared" si="3"/>
        <v>0</v>
      </c>
      <c r="J40" s="52">
        <f t="shared" si="3"/>
        <v>2300</v>
      </c>
      <c r="K40" s="52">
        <f t="shared" si="3"/>
        <v>0</v>
      </c>
      <c r="L40" s="52">
        <f t="shared" si="3"/>
        <v>15850</v>
      </c>
      <c r="M40" s="52">
        <f t="shared" si="3"/>
        <v>9150</v>
      </c>
      <c r="N40" s="52">
        <f t="shared" si="1"/>
        <v>27300</v>
      </c>
      <c r="O40" s="52">
        <f t="shared" si="3"/>
        <v>19500</v>
      </c>
      <c r="P40" s="52">
        <f t="shared" si="3"/>
        <v>26600</v>
      </c>
      <c r="Q40" s="52">
        <f t="shared" si="3"/>
        <v>19250</v>
      </c>
      <c r="R40" s="52">
        <f t="shared" si="3"/>
        <v>8900</v>
      </c>
      <c r="S40" s="52">
        <f t="shared" si="3"/>
        <v>5300</v>
      </c>
      <c r="T40" s="52">
        <f t="shared" si="3"/>
        <v>5500</v>
      </c>
      <c r="U40" s="52">
        <f t="shared" si="2"/>
        <v>112350</v>
      </c>
      <c r="V40" s="16">
        <f t="shared" si="0"/>
        <v>0</v>
      </c>
      <c r="W40" s="16">
        <f>N40+O40-'додаток сесія_2024_2028_161 (2'!O39</f>
        <v>0</v>
      </c>
    </row>
    <row r="41" spans="1:23" s="17" customFormat="1" ht="15.75" hidden="1" customHeight="1" x14ac:dyDescent="0.2">
      <c r="A41" s="22"/>
      <c r="B41" s="36"/>
      <c r="C41" s="37" t="s">
        <v>45</v>
      </c>
      <c r="D41" s="22"/>
      <c r="E41" s="22"/>
      <c r="F41" s="22"/>
      <c r="G41" s="15"/>
      <c r="H41" s="20"/>
      <c r="I41" s="20"/>
      <c r="J41" s="20"/>
      <c r="K41" s="20"/>
      <c r="L41" s="20"/>
      <c r="M41" s="20"/>
      <c r="N41" s="15"/>
      <c r="O41" s="20"/>
      <c r="P41" s="20"/>
      <c r="Q41" s="20"/>
      <c r="R41" s="20"/>
      <c r="S41" s="20"/>
      <c r="T41" s="20"/>
      <c r="U41" s="15"/>
      <c r="V41" s="16">
        <f t="shared" si="0"/>
        <v>0</v>
      </c>
      <c r="W41" s="16">
        <f>N41+O41-'додаток сесія_2024_2028_161 (2'!O40</f>
        <v>0</v>
      </c>
    </row>
    <row r="42" spans="1:23" s="17" customFormat="1" ht="35.25" hidden="1" customHeight="1" x14ac:dyDescent="0.2">
      <c r="A42" s="22"/>
      <c r="B42" s="36"/>
      <c r="C42" s="37" t="s">
        <v>46</v>
      </c>
      <c r="D42" s="22"/>
      <c r="E42" s="22"/>
      <c r="F42" s="22"/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5">
        <v>3500</v>
      </c>
      <c r="M42" s="45">
        <f>900-350-350</f>
        <v>200</v>
      </c>
      <c r="N42" s="15">
        <f t="shared" si="1"/>
        <v>3700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15">
        <f t="shared" si="2"/>
        <v>3700</v>
      </c>
      <c r="V42" s="16">
        <f t="shared" si="0"/>
        <v>0</v>
      </c>
      <c r="W42" s="16">
        <f>N42+O42-'додаток сесія_2024_2028_161 (2'!O41</f>
        <v>0</v>
      </c>
    </row>
    <row r="43" spans="1:23" s="17" customFormat="1" ht="24.75" hidden="1" customHeight="1" x14ac:dyDescent="0.2">
      <c r="A43" s="47"/>
      <c r="B43" s="469"/>
      <c r="C43" s="37" t="s">
        <v>47</v>
      </c>
      <c r="D43" s="47"/>
      <c r="E43" s="470"/>
      <c r="F43" s="47"/>
      <c r="G43" s="44">
        <v>0</v>
      </c>
      <c r="H43" s="44">
        <v>0</v>
      </c>
      <c r="I43" s="44">
        <v>0</v>
      </c>
      <c r="J43" s="44">
        <v>2300</v>
      </c>
      <c r="K43" s="44">
        <v>0</v>
      </c>
      <c r="L43" s="45">
        <f>5100-450</f>
        <v>4650</v>
      </c>
      <c r="M43" s="45">
        <v>2800</v>
      </c>
      <c r="N43" s="15">
        <f t="shared" si="1"/>
        <v>9750</v>
      </c>
      <c r="O43" s="45">
        <v>0</v>
      </c>
      <c r="P43" s="45">
        <v>5500</v>
      </c>
      <c r="Q43" s="45">
        <v>5200</v>
      </c>
      <c r="R43" s="45">
        <v>0</v>
      </c>
      <c r="S43" s="45">
        <v>0</v>
      </c>
      <c r="T43" s="45">
        <v>5500</v>
      </c>
      <c r="U43" s="15">
        <f t="shared" si="2"/>
        <v>25950</v>
      </c>
      <c r="V43" s="16">
        <f t="shared" si="0"/>
        <v>0</v>
      </c>
      <c r="W43" s="16">
        <f>N43+O43-'додаток сесія_2024_2028_161 (2'!O42</f>
        <v>0</v>
      </c>
    </row>
    <row r="44" spans="1:23" s="17" customFormat="1" ht="26.25" hidden="1" customHeight="1" x14ac:dyDescent="0.2">
      <c r="A44" s="22"/>
      <c r="B44" s="36"/>
      <c r="C44" s="37" t="s">
        <v>48</v>
      </c>
      <c r="D44" s="22"/>
      <c r="E44" s="22"/>
      <c r="F44" s="493"/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5">
        <f>4000+375</f>
        <v>4375</v>
      </c>
      <c r="M44" s="45">
        <v>4300</v>
      </c>
      <c r="N44" s="15">
        <f t="shared" si="1"/>
        <v>8675</v>
      </c>
      <c r="O44" s="45">
        <f>4500+1600</f>
        <v>6100</v>
      </c>
      <c r="P44" s="45">
        <f>7000+500</f>
        <v>7500</v>
      </c>
      <c r="Q44" s="45">
        <v>6500</v>
      </c>
      <c r="R44" s="45">
        <v>0</v>
      </c>
      <c r="S44" s="45">
        <v>0</v>
      </c>
      <c r="T44" s="45">
        <v>0</v>
      </c>
      <c r="U44" s="15">
        <f t="shared" si="2"/>
        <v>28775</v>
      </c>
      <c r="V44" s="16">
        <f t="shared" si="0"/>
        <v>0</v>
      </c>
      <c r="W44" s="16">
        <f>N44+O44-'додаток сесія_2024_2028_161 (2'!O43</f>
        <v>0</v>
      </c>
    </row>
    <row r="45" spans="1:23" s="17" customFormat="1" ht="18" hidden="1" customHeight="1" x14ac:dyDescent="0.2">
      <c r="A45" s="22"/>
      <c r="B45" s="36"/>
      <c r="C45" s="37" t="s">
        <v>49</v>
      </c>
      <c r="D45" s="22"/>
      <c r="E45" s="22"/>
      <c r="F45" s="22"/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5">
        <v>0</v>
      </c>
      <c r="M45" s="45">
        <f>850+350</f>
        <v>1200</v>
      </c>
      <c r="N45" s="15">
        <f t="shared" si="1"/>
        <v>1200</v>
      </c>
      <c r="O45" s="45">
        <f>735-735</f>
        <v>0</v>
      </c>
      <c r="P45" s="45">
        <v>0</v>
      </c>
      <c r="Q45" s="45">
        <v>1200</v>
      </c>
      <c r="R45" s="45">
        <v>1300</v>
      </c>
      <c r="S45" s="45">
        <v>0</v>
      </c>
      <c r="T45" s="45">
        <v>0</v>
      </c>
      <c r="U45" s="15">
        <f t="shared" si="2"/>
        <v>3700</v>
      </c>
      <c r="V45" s="16">
        <f t="shared" si="0"/>
        <v>0</v>
      </c>
      <c r="W45" s="16">
        <f>N45+O45-'додаток сесія_2024_2028_161 (2'!O44</f>
        <v>0</v>
      </c>
    </row>
    <row r="46" spans="1:23" s="17" customFormat="1" ht="21.75" hidden="1" customHeight="1" x14ac:dyDescent="0.2">
      <c r="A46" s="22"/>
      <c r="B46" s="36"/>
      <c r="C46" s="37" t="s">
        <v>50</v>
      </c>
      <c r="D46" s="22"/>
      <c r="E46" s="22"/>
      <c r="F46" s="22"/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5">
        <v>0</v>
      </c>
      <c r="M46" s="45">
        <f>300+350</f>
        <v>650</v>
      </c>
      <c r="N46" s="15">
        <f t="shared" si="1"/>
        <v>650</v>
      </c>
      <c r="O46" s="45">
        <v>0</v>
      </c>
      <c r="P46" s="45">
        <v>0</v>
      </c>
      <c r="Q46" s="45">
        <v>250</v>
      </c>
      <c r="R46" s="45">
        <v>300</v>
      </c>
      <c r="S46" s="45">
        <v>0</v>
      </c>
      <c r="T46" s="45">
        <v>0</v>
      </c>
      <c r="U46" s="15">
        <f t="shared" si="2"/>
        <v>1200</v>
      </c>
      <c r="V46" s="16">
        <f t="shared" si="0"/>
        <v>0</v>
      </c>
      <c r="W46" s="16">
        <f>N46+O46-'додаток сесія_2024_2028_161 (2'!O45</f>
        <v>0</v>
      </c>
    </row>
    <row r="47" spans="1:23" s="17" customFormat="1" ht="23.25" hidden="1" customHeight="1" x14ac:dyDescent="0.2">
      <c r="A47" s="22"/>
      <c r="B47" s="36"/>
      <c r="C47" s="37" t="s">
        <v>51</v>
      </c>
      <c r="D47" s="22"/>
      <c r="E47" s="22"/>
      <c r="F47" s="22"/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5">
        <v>2875</v>
      </c>
      <c r="M47" s="45">
        <v>0</v>
      </c>
      <c r="N47" s="15">
        <f t="shared" si="1"/>
        <v>2875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15">
        <f t="shared" si="2"/>
        <v>2875</v>
      </c>
      <c r="V47" s="16">
        <f t="shared" si="0"/>
        <v>0</v>
      </c>
      <c r="W47" s="16">
        <f>N47+O47-'додаток сесія_2024_2028_161 (2'!O46</f>
        <v>0</v>
      </c>
    </row>
    <row r="48" spans="1:23" s="17" customFormat="1" ht="21" hidden="1" customHeight="1" x14ac:dyDescent="0.2">
      <c r="A48" s="22"/>
      <c r="B48" s="62"/>
      <c r="C48" s="37" t="s">
        <v>52</v>
      </c>
      <c r="D48" s="22"/>
      <c r="E48" s="22"/>
      <c r="F48" s="22"/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5">
        <v>450</v>
      </c>
      <c r="M48" s="44">
        <v>0</v>
      </c>
      <c r="N48" s="15">
        <f t="shared" si="1"/>
        <v>450</v>
      </c>
      <c r="O48" s="44">
        <v>0</v>
      </c>
      <c r="P48" s="44">
        <v>0</v>
      </c>
      <c r="Q48" s="44">
        <v>300</v>
      </c>
      <c r="R48" s="44">
        <v>300</v>
      </c>
      <c r="S48" s="44">
        <v>300</v>
      </c>
      <c r="T48" s="44">
        <v>0</v>
      </c>
      <c r="U48" s="15">
        <f t="shared" si="2"/>
        <v>1350</v>
      </c>
      <c r="V48" s="16">
        <f t="shared" si="0"/>
        <v>0</v>
      </c>
      <c r="W48" s="16">
        <f>N48+O48-'додаток сесія_2024_2028_161 (2'!O47</f>
        <v>0</v>
      </c>
    </row>
    <row r="49" spans="1:23" s="17" customFormat="1" ht="36.75" hidden="1" customHeight="1" x14ac:dyDescent="0.2">
      <c r="A49" s="22"/>
      <c r="B49" s="36"/>
      <c r="C49" s="48" t="s">
        <v>53</v>
      </c>
      <c r="D49" s="49"/>
      <c r="E49" s="22"/>
      <c r="F49" s="22"/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1">
        <v>0</v>
      </c>
      <c r="M49" s="50">
        <v>0</v>
      </c>
      <c r="N49" s="15">
        <f t="shared" si="1"/>
        <v>0</v>
      </c>
      <c r="O49" s="50">
        <v>6000</v>
      </c>
      <c r="P49" s="50">
        <v>7500</v>
      </c>
      <c r="Q49" s="50">
        <v>0</v>
      </c>
      <c r="R49" s="50">
        <v>0</v>
      </c>
      <c r="S49" s="50">
        <v>0</v>
      </c>
      <c r="T49" s="50">
        <v>0</v>
      </c>
      <c r="U49" s="15">
        <f t="shared" si="2"/>
        <v>13500</v>
      </c>
      <c r="V49" s="16">
        <f t="shared" si="0"/>
        <v>0</v>
      </c>
      <c r="W49" s="16">
        <f>N49+O49-'додаток сесія_2024_2028_161 (2'!O48</f>
        <v>0</v>
      </c>
    </row>
    <row r="50" spans="1:23" s="17" customFormat="1" ht="28.5" hidden="1" customHeight="1" x14ac:dyDescent="0.2">
      <c r="A50" s="22"/>
      <c r="B50" s="36"/>
      <c r="C50" s="37" t="s">
        <v>54</v>
      </c>
      <c r="D50" s="49"/>
      <c r="E50" s="22"/>
      <c r="F50" s="22"/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5">
        <v>0</v>
      </c>
      <c r="M50" s="44">
        <v>0</v>
      </c>
      <c r="N50" s="15">
        <f t="shared" si="1"/>
        <v>0</v>
      </c>
      <c r="O50" s="44">
        <v>5200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15">
        <f t="shared" si="2"/>
        <v>5200</v>
      </c>
      <c r="V50" s="16">
        <f t="shared" si="0"/>
        <v>0</v>
      </c>
      <c r="W50" s="16">
        <f>N50+O50-'додаток сесія_2024_2028_161 (2'!O49</f>
        <v>0</v>
      </c>
    </row>
    <row r="51" spans="1:23" s="17" customFormat="1" ht="23.25" hidden="1" customHeight="1" x14ac:dyDescent="0.2">
      <c r="A51" s="22"/>
      <c r="B51" s="36"/>
      <c r="C51" s="37" t="s">
        <v>55</v>
      </c>
      <c r="D51" s="49"/>
      <c r="E51" s="22"/>
      <c r="F51" s="22"/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5">
        <v>0</v>
      </c>
      <c r="M51" s="44">
        <v>0</v>
      </c>
      <c r="N51" s="15">
        <f t="shared" si="1"/>
        <v>0</v>
      </c>
      <c r="O51" s="44">
        <v>2200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15">
        <f t="shared" si="2"/>
        <v>2200</v>
      </c>
      <c r="V51" s="16">
        <f t="shared" si="0"/>
        <v>0</v>
      </c>
      <c r="W51" s="16">
        <f>N51+O51-'додаток сесія_2024_2028_161 (2'!O50</f>
        <v>0</v>
      </c>
    </row>
    <row r="52" spans="1:23" s="17" customFormat="1" ht="21.75" hidden="1" customHeight="1" x14ac:dyDescent="0.2">
      <c r="A52" s="22"/>
      <c r="B52" s="36"/>
      <c r="C52" s="48" t="s">
        <v>56</v>
      </c>
      <c r="D52" s="53"/>
      <c r="E52" s="22"/>
      <c r="F52" s="53"/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5">
        <v>0</v>
      </c>
      <c r="M52" s="44">
        <v>0</v>
      </c>
      <c r="N52" s="15">
        <f t="shared" si="1"/>
        <v>0</v>
      </c>
      <c r="O52" s="44">
        <v>0</v>
      </c>
      <c r="P52" s="44">
        <v>0</v>
      </c>
      <c r="Q52" s="44">
        <v>1000</v>
      </c>
      <c r="R52" s="44">
        <v>0</v>
      </c>
      <c r="S52" s="44">
        <v>0</v>
      </c>
      <c r="T52" s="44">
        <v>0</v>
      </c>
      <c r="U52" s="15">
        <f t="shared" si="2"/>
        <v>1000</v>
      </c>
      <c r="V52" s="16">
        <f t="shared" si="0"/>
        <v>0</v>
      </c>
      <c r="W52" s="16">
        <f>N52+O52-'додаток сесія_2024_2028_161 (2'!O51</f>
        <v>0</v>
      </c>
    </row>
    <row r="53" spans="1:23" s="17" customFormat="1" ht="21.75" hidden="1" customHeight="1" x14ac:dyDescent="0.2">
      <c r="A53" s="22"/>
      <c r="B53" s="36"/>
      <c r="C53" s="48" t="s">
        <v>57</v>
      </c>
      <c r="D53" s="53"/>
      <c r="E53" s="22"/>
      <c r="F53" s="53"/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15">
        <f t="shared" si="1"/>
        <v>0</v>
      </c>
      <c r="O53" s="44">
        <v>0</v>
      </c>
      <c r="P53" s="44">
        <v>0</v>
      </c>
      <c r="Q53" s="44">
        <v>0</v>
      </c>
      <c r="R53" s="44">
        <v>7000</v>
      </c>
      <c r="S53" s="44">
        <v>0</v>
      </c>
      <c r="T53" s="44">
        <v>0</v>
      </c>
      <c r="U53" s="15">
        <f t="shared" si="2"/>
        <v>7000</v>
      </c>
      <c r="V53" s="16">
        <f t="shared" si="0"/>
        <v>0</v>
      </c>
      <c r="W53" s="16">
        <f>N53+O53-'додаток сесія_2024_2028_161 (2'!O52</f>
        <v>0</v>
      </c>
    </row>
    <row r="54" spans="1:23" s="17" customFormat="1" ht="21.75" hidden="1" customHeight="1" x14ac:dyDescent="0.2">
      <c r="A54" s="22"/>
      <c r="B54" s="36"/>
      <c r="C54" s="48" t="s">
        <v>58</v>
      </c>
      <c r="D54" s="53"/>
      <c r="E54" s="22"/>
      <c r="F54" s="53"/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15">
        <f t="shared" si="1"/>
        <v>0</v>
      </c>
      <c r="O54" s="44">
        <v>0</v>
      </c>
      <c r="P54" s="44">
        <v>0</v>
      </c>
      <c r="Q54" s="44">
        <v>4800</v>
      </c>
      <c r="R54" s="44">
        <v>0</v>
      </c>
      <c r="S54" s="44">
        <v>5000</v>
      </c>
      <c r="T54" s="44">
        <v>0</v>
      </c>
      <c r="U54" s="15">
        <f t="shared" si="2"/>
        <v>9800</v>
      </c>
      <c r="V54" s="16">
        <f t="shared" si="0"/>
        <v>0</v>
      </c>
      <c r="W54" s="16">
        <f>N54+O54-'додаток сесія_2024_2028_161 (2'!O53</f>
        <v>0</v>
      </c>
    </row>
    <row r="55" spans="1:23" s="17" customFormat="1" ht="24.75" hidden="1" customHeight="1" x14ac:dyDescent="0.2">
      <c r="A55" s="22"/>
      <c r="B55" s="36"/>
      <c r="C55" s="48" t="s">
        <v>59</v>
      </c>
      <c r="D55" s="53"/>
      <c r="E55" s="22"/>
      <c r="F55" s="53"/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15">
        <f t="shared" si="1"/>
        <v>0</v>
      </c>
      <c r="O55" s="44">
        <v>0</v>
      </c>
      <c r="P55" s="44">
        <v>6100</v>
      </c>
      <c r="Q55" s="44">
        <v>0</v>
      </c>
      <c r="R55" s="44">
        <v>0</v>
      </c>
      <c r="S55" s="44">
        <v>0</v>
      </c>
      <c r="T55" s="44">
        <v>0</v>
      </c>
      <c r="U55" s="15">
        <f t="shared" si="2"/>
        <v>6100</v>
      </c>
      <c r="V55" s="16">
        <f t="shared" si="0"/>
        <v>0</v>
      </c>
      <c r="W55" s="16">
        <f>N55+O55-'додаток сесія_2024_2028_161 (2'!O54</f>
        <v>0</v>
      </c>
    </row>
    <row r="56" spans="1:23" s="17" customFormat="1" ht="48.75" hidden="1" customHeight="1" x14ac:dyDescent="0.2">
      <c r="A56" s="22"/>
      <c r="B56" s="30"/>
      <c r="C56" s="54" t="s">
        <v>60</v>
      </c>
      <c r="D56" s="55" t="s">
        <v>61</v>
      </c>
      <c r="E56" s="18"/>
      <c r="F56" s="55" t="s">
        <v>13</v>
      </c>
      <c r="G56" s="15">
        <v>0</v>
      </c>
      <c r="H56" s="15">
        <v>0</v>
      </c>
      <c r="I56" s="15">
        <v>0</v>
      </c>
      <c r="J56" s="15">
        <v>2000</v>
      </c>
      <c r="K56" s="15">
        <v>1760.9</v>
      </c>
      <c r="L56" s="15">
        <f>2000+2100</f>
        <v>4100</v>
      </c>
      <c r="M56" s="15">
        <f>2500+3000+2149.3</f>
        <v>7649.3</v>
      </c>
      <c r="N56" s="15">
        <f t="shared" si="1"/>
        <v>15510.2</v>
      </c>
      <c r="O56" s="15">
        <f>3000+10000+2000+13790</f>
        <v>28790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f t="shared" si="2"/>
        <v>44300.2</v>
      </c>
      <c r="V56" s="16">
        <f t="shared" si="0"/>
        <v>0</v>
      </c>
      <c r="W56" s="16">
        <f>N56+O56-'додаток сесія_2024_2028_161 (2'!O55</f>
        <v>0</v>
      </c>
    </row>
    <row r="57" spans="1:23" s="17" customFormat="1" ht="53.25" hidden="1" customHeight="1" x14ac:dyDescent="0.2">
      <c r="A57" s="22"/>
      <c r="B57" s="30"/>
      <c r="C57" s="34" t="s">
        <v>62</v>
      </c>
      <c r="D57" s="56" t="s">
        <v>61</v>
      </c>
      <c r="E57" s="18"/>
      <c r="F57" s="55" t="s">
        <v>13</v>
      </c>
      <c r="G57" s="15">
        <v>0</v>
      </c>
      <c r="H57" s="15">
        <v>0</v>
      </c>
      <c r="I57" s="15">
        <v>0</v>
      </c>
      <c r="J57" s="15">
        <v>7900</v>
      </c>
      <c r="K57" s="15">
        <v>6611.6</v>
      </c>
      <c r="L57" s="15">
        <v>10000</v>
      </c>
      <c r="M57" s="15">
        <f>14000-2149.3</f>
        <v>11850.7</v>
      </c>
      <c r="N57" s="15">
        <f t="shared" si="1"/>
        <v>36362.300000000003</v>
      </c>
      <c r="O57" s="15">
        <f>20000-10000</f>
        <v>10000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f t="shared" si="2"/>
        <v>46362.3</v>
      </c>
      <c r="V57" s="16">
        <f t="shared" si="0"/>
        <v>0</v>
      </c>
      <c r="W57" s="16">
        <f>N57+O57-'додаток сесія_2024_2028_161 (2'!O56</f>
        <v>0</v>
      </c>
    </row>
    <row r="58" spans="1:23" s="17" customFormat="1" ht="40.5" hidden="1" customHeight="1" x14ac:dyDescent="0.2">
      <c r="A58" s="22"/>
      <c r="B58" s="30"/>
      <c r="C58" s="57" t="s">
        <v>63</v>
      </c>
      <c r="D58" s="29" t="s">
        <v>61</v>
      </c>
      <c r="E58" s="18"/>
      <c r="F58" s="55" t="s">
        <v>13</v>
      </c>
      <c r="G58" s="15">
        <v>0</v>
      </c>
      <c r="H58" s="15">
        <v>0</v>
      </c>
      <c r="I58" s="15">
        <v>0</v>
      </c>
      <c r="J58" s="15">
        <v>1600</v>
      </c>
      <c r="K58" s="15">
        <v>5500</v>
      </c>
      <c r="L58" s="15">
        <f>7600-3900</f>
        <v>3700</v>
      </c>
      <c r="M58" s="15">
        <f>8360-8360</f>
        <v>0</v>
      </c>
      <c r="N58" s="15">
        <f t="shared" si="1"/>
        <v>10800</v>
      </c>
      <c r="O58" s="15">
        <f>9200-9200</f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f t="shared" si="2"/>
        <v>10800</v>
      </c>
      <c r="V58" s="16">
        <f t="shared" si="0"/>
        <v>0</v>
      </c>
      <c r="W58" s="16">
        <f>N58+O58-'додаток сесія_2024_2028_161 (2'!O57</f>
        <v>0</v>
      </c>
    </row>
    <row r="59" spans="1:23" s="17" customFormat="1" ht="57.75" hidden="1" customHeight="1" x14ac:dyDescent="0.2">
      <c r="A59" s="22"/>
      <c r="B59" s="36"/>
      <c r="C59" s="42" t="s">
        <v>64</v>
      </c>
      <c r="D59" s="13" t="s">
        <v>44</v>
      </c>
      <c r="E59" s="473"/>
      <c r="F59" s="55" t="s">
        <v>13</v>
      </c>
      <c r="G59" s="15">
        <v>0</v>
      </c>
      <c r="H59" s="20">
        <v>0</v>
      </c>
      <c r="I59" s="20">
        <v>0</v>
      </c>
      <c r="J59" s="20">
        <v>6000</v>
      </c>
      <c r="K59" s="20">
        <v>13000</v>
      </c>
      <c r="L59" s="20">
        <v>1260</v>
      </c>
      <c r="M59" s="20">
        <v>1385</v>
      </c>
      <c r="N59" s="15">
        <f t="shared" si="1"/>
        <v>21645</v>
      </c>
      <c r="O59" s="20">
        <v>1525</v>
      </c>
      <c r="P59" s="20">
        <v>0</v>
      </c>
      <c r="Q59" s="20">
        <v>1300</v>
      </c>
      <c r="R59" s="20">
        <v>1500</v>
      </c>
      <c r="S59" s="20">
        <v>2000</v>
      </c>
      <c r="T59" s="20">
        <v>2500</v>
      </c>
      <c r="U59" s="15">
        <f t="shared" si="2"/>
        <v>30470</v>
      </c>
      <c r="V59" s="16">
        <f t="shared" si="0"/>
        <v>0</v>
      </c>
      <c r="W59" s="16">
        <f>N59+O59-'додаток сесія_2024_2028_161 (2'!O58</f>
        <v>0</v>
      </c>
    </row>
    <row r="60" spans="1:23" s="17" customFormat="1" ht="54.75" hidden="1" customHeight="1" x14ac:dyDescent="0.2">
      <c r="A60" s="574"/>
      <c r="B60" s="36"/>
      <c r="C60" s="42" t="s">
        <v>65</v>
      </c>
      <c r="D60" s="13" t="s">
        <v>61</v>
      </c>
      <c r="E60" s="473"/>
      <c r="F60" s="55" t="s">
        <v>13</v>
      </c>
      <c r="G60" s="15">
        <v>0</v>
      </c>
      <c r="H60" s="20">
        <v>0</v>
      </c>
      <c r="I60" s="20">
        <v>0</v>
      </c>
      <c r="J60" s="20">
        <v>2500</v>
      </c>
      <c r="K60" s="20">
        <v>7500</v>
      </c>
      <c r="L60" s="20">
        <v>1835.7</v>
      </c>
      <c r="M60" s="20">
        <f>8500</f>
        <v>8500</v>
      </c>
      <c r="N60" s="15">
        <f t="shared" si="1"/>
        <v>20335.7</v>
      </c>
      <c r="O60" s="20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f t="shared" si="2"/>
        <v>20335.7</v>
      </c>
      <c r="V60" s="16">
        <f t="shared" si="0"/>
        <v>0</v>
      </c>
      <c r="W60" s="16">
        <f>N60+O60-'додаток сесія_2024_2028_161 (2'!O59</f>
        <v>0</v>
      </c>
    </row>
    <row r="61" spans="1:23" s="17" customFormat="1" ht="71.25" hidden="1" customHeight="1" x14ac:dyDescent="0.2">
      <c r="A61" s="575"/>
      <c r="B61" s="36"/>
      <c r="C61" s="42" t="s">
        <v>66</v>
      </c>
      <c r="D61" s="13" t="s">
        <v>44</v>
      </c>
      <c r="E61" s="473"/>
      <c r="F61" s="55" t="s">
        <v>13</v>
      </c>
      <c r="G61" s="15">
        <v>0</v>
      </c>
      <c r="H61" s="20">
        <v>0</v>
      </c>
      <c r="I61" s="20">
        <v>0</v>
      </c>
      <c r="J61" s="20">
        <v>0</v>
      </c>
      <c r="K61" s="20">
        <v>1000</v>
      </c>
      <c r="L61" s="20">
        <v>10000</v>
      </c>
      <c r="M61" s="20">
        <f>10000-8500</f>
        <v>1500</v>
      </c>
      <c r="N61" s="15">
        <f t="shared" si="1"/>
        <v>12500</v>
      </c>
      <c r="O61" s="20">
        <v>0</v>
      </c>
      <c r="P61" s="20">
        <v>0</v>
      </c>
      <c r="Q61" s="20">
        <v>1000</v>
      </c>
      <c r="R61" s="20">
        <v>0</v>
      </c>
      <c r="S61" s="20">
        <v>0</v>
      </c>
      <c r="T61" s="20">
        <v>0</v>
      </c>
      <c r="U61" s="15">
        <f t="shared" si="2"/>
        <v>13500</v>
      </c>
      <c r="V61" s="16">
        <f t="shared" si="0"/>
        <v>0</v>
      </c>
      <c r="W61" s="16">
        <f>N61+O61-'додаток сесія_2024_2028_161 (2'!O60</f>
        <v>0</v>
      </c>
    </row>
    <row r="62" spans="1:23" s="17" customFormat="1" ht="46.5" hidden="1" customHeight="1" x14ac:dyDescent="0.2">
      <c r="A62" s="22"/>
      <c r="B62" s="36"/>
      <c r="C62" s="42" t="s">
        <v>67</v>
      </c>
      <c r="D62" s="13" t="s">
        <v>68</v>
      </c>
      <c r="E62" s="473"/>
      <c r="F62" s="55" t="s">
        <v>13</v>
      </c>
      <c r="G62" s="15">
        <v>0</v>
      </c>
      <c r="H62" s="20">
        <v>0</v>
      </c>
      <c r="I62" s="20">
        <v>0</v>
      </c>
      <c r="J62" s="20">
        <v>0</v>
      </c>
      <c r="K62" s="20">
        <v>7950</v>
      </c>
      <c r="L62" s="20">
        <v>0</v>
      </c>
      <c r="M62" s="20">
        <v>0</v>
      </c>
      <c r="N62" s="15">
        <f t="shared" si="1"/>
        <v>7950</v>
      </c>
      <c r="O62" s="20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f t="shared" si="2"/>
        <v>7950</v>
      </c>
      <c r="V62" s="16">
        <f t="shared" si="0"/>
        <v>0</v>
      </c>
      <c r="W62" s="16">
        <f>N62+O62-'додаток сесія_2024_2028_161 (2'!O61</f>
        <v>0</v>
      </c>
    </row>
    <row r="63" spans="1:23" s="17" customFormat="1" ht="42.75" hidden="1" customHeight="1" x14ac:dyDescent="0.2">
      <c r="A63" s="22"/>
      <c r="B63" s="82"/>
      <c r="C63" s="42" t="s">
        <v>69</v>
      </c>
      <c r="D63" s="13" t="s">
        <v>61</v>
      </c>
      <c r="E63" s="473"/>
      <c r="F63" s="55" t="s">
        <v>13</v>
      </c>
      <c r="G63" s="15">
        <v>0</v>
      </c>
      <c r="H63" s="20">
        <v>0</v>
      </c>
      <c r="I63" s="20">
        <v>0</v>
      </c>
      <c r="J63" s="20">
        <v>0</v>
      </c>
      <c r="K63" s="20">
        <v>1000</v>
      </c>
      <c r="L63" s="20">
        <v>10000</v>
      </c>
      <c r="M63" s="20">
        <f>4000-2250</f>
        <v>1750</v>
      </c>
      <c r="N63" s="15">
        <f t="shared" si="1"/>
        <v>12750</v>
      </c>
      <c r="O63" s="20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f t="shared" si="2"/>
        <v>12750</v>
      </c>
      <c r="V63" s="16">
        <f t="shared" si="0"/>
        <v>0</v>
      </c>
      <c r="W63" s="16">
        <f>N63+O63-'додаток сесія_2024_2028_161 (2'!O62</f>
        <v>0</v>
      </c>
    </row>
    <row r="64" spans="1:23" s="17" customFormat="1" ht="47.25" hidden="1" customHeight="1" x14ac:dyDescent="0.2">
      <c r="A64" s="22"/>
      <c r="B64" s="82"/>
      <c r="C64" s="58" t="s">
        <v>70</v>
      </c>
      <c r="D64" s="23" t="s">
        <v>71</v>
      </c>
      <c r="E64" s="531"/>
      <c r="F64" s="55" t="s">
        <v>13</v>
      </c>
      <c r="G64" s="15">
        <v>0</v>
      </c>
      <c r="H64" s="20">
        <v>0</v>
      </c>
      <c r="I64" s="20">
        <v>0</v>
      </c>
      <c r="J64" s="20">
        <v>0</v>
      </c>
      <c r="K64" s="20">
        <v>0</v>
      </c>
      <c r="L64" s="20">
        <v>2000</v>
      </c>
      <c r="M64" s="20">
        <v>7000</v>
      </c>
      <c r="N64" s="15">
        <f t="shared" si="1"/>
        <v>9000</v>
      </c>
      <c r="O64" s="20">
        <v>10000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f t="shared" si="2"/>
        <v>19000</v>
      </c>
      <c r="V64" s="16">
        <f t="shared" si="0"/>
        <v>0</v>
      </c>
      <c r="W64" s="16">
        <f>N64+O64-'додаток сесія_2024_2028_161 (2'!O63</f>
        <v>0</v>
      </c>
    </row>
    <row r="65" spans="1:23" s="17" customFormat="1" ht="52.5" hidden="1" customHeight="1" x14ac:dyDescent="0.2">
      <c r="A65" s="22"/>
      <c r="B65" s="19"/>
      <c r="C65" s="59" t="s">
        <v>72</v>
      </c>
      <c r="D65" s="60" t="s">
        <v>73</v>
      </c>
      <c r="E65" s="531"/>
      <c r="F65" s="55" t="s">
        <v>13</v>
      </c>
      <c r="G65" s="15">
        <v>0</v>
      </c>
      <c r="H65" s="20">
        <v>0</v>
      </c>
      <c r="I65" s="20">
        <v>0</v>
      </c>
      <c r="J65" s="20">
        <v>0</v>
      </c>
      <c r="K65" s="20">
        <v>0</v>
      </c>
      <c r="L65" s="20">
        <v>2000</v>
      </c>
      <c r="M65" s="20">
        <v>2000</v>
      </c>
      <c r="N65" s="15">
        <f t="shared" si="1"/>
        <v>4000</v>
      </c>
      <c r="O65" s="20">
        <v>0</v>
      </c>
      <c r="P65" s="20">
        <v>0</v>
      </c>
      <c r="Q65" s="20">
        <v>0</v>
      </c>
      <c r="R65" s="20">
        <v>5000</v>
      </c>
      <c r="S65" s="20">
        <v>0</v>
      </c>
      <c r="T65" s="20">
        <v>0</v>
      </c>
      <c r="U65" s="15">
        <f t="shared" si="2"/>
        <v>9000</v>
      </c>
      <c r="V65" s="16">
        <f t="shared" si="0"/>
        <v>0</v>
      </c>
      <c r="W65" s="16">
        <f>N65+O65-'додаток сесія_2024_2028_161 (2'!O64</f>
        <v>0</v>
      </c>
    </row>
    <row r="66" spans="1:23" s="17" customFormat="1" ht="71.25" hidden="1" customHeight="1" x14ac:dyDescent="0.2">
      <c r="A66" s="47"/>
      <c r="B66" s="469"/>
      <c r="C66" s="63" t="s">
        <v>74</v>
      </c>
      <c r="D66" s="13" t="s">
        <v>73</v>
      </c>
      <c r="E66" s="476"/>
      <c r="F66" s="55" t="s">
        <v>13</v>
      </c>
      <c r="G66" s="15">
        <v>0</v>
      </c>
      <c r="H66" s="20">
        <v>0</v>
      </c>
      <c r="I66" s="20">
        <v>0</v>
      </c>
      <c r="J66" s="20">
        <v>0</v>
      </c>
      <c r="K66" s="20">
        <v>0</v>
      </c>
      <c r="L66" s="20">
        <v>2000</v>
      </c>
      <c r="M66" s="20">
        <v>2000</v>
      </c>
      <c r="N66" s="15">
        <f t="shared" si="1"/>
        <v>4000</v>
      </c>
      <c r="O66" s="20">
        <v>0</v>
      </c>
      <c r="P66" s="20">
        <v>0</v>
      </c>
      <c r="Q66" s="20">
        <v>4200</v>
      </c>
      <c r="R66" s="20">
        <v>0</v>
      </c>
      <c r="S66" s="20">
        <v>0</v>
      </c>
      <c r="T66" s="20">
        <v>0</v>
      </c>
      <c r="U66" s="15">
        <f t="shared" si="2"/>
        <v>8200</v>
      </c>
      <c r="V66" s="16">
        <f t="shared" si="0"/>
        <v>0</v>
      </c>
      <c r="W66" s="16">
        <f>N66+O66-'додаток сесія_2024_2028_161 (2'!O65</f>
        <v>0</v>
      </c>
    </row>
    <row r="67" spans="1:23" s="17" customFormat="1" ht="44.25" hidden="1" customHeight="1" x14ac:dyDescent="0.2">
      <c r="A67" s="22"/>
      <c r="B67" s="62"/>
      <c r="C67" s="63" t="s">
        <v>75</v>
      </c>
      <c r="D67" s="13" t="s">
        <v>73</v>
      </c>
      <c r="E67" s="531"/>
      <c r="F67" s="55" t="s">
        <v>13</v>
      </c>
      <c r="G67" s="15">
        <v>0</v>
      </c>
      <c r="H67" s="20">
        <v>0</v>
      </c>
      <c r="I67" s="20">
        <v>0</v>
      </c>
      <c r="J67" s="20">
        <v>0</v>
      </c>
      <c r="K67" s="20">
        <v>0</v>
      </c>
      <c r="L67" s="20">
        <f>500+1000</f>
        <v>1500</v>
      </c>
      <c r="M67" s="20">
        <v>1000</v>
      </c>
      <c r="N67" s="15">
        <f t="shared" si="1"/>
        <v>2500</v>
      </c>
      <c r="O67" s="20">
        <v>1500</v>
      </c>
      <c r="P67" s="20">
        <v>2000</v>
      </c>
      <c r="Q67" s="20">
        <v>3000</v>
      </c>
      <c r="R67" s="20">
        <v>8000</v>
      </c>
      <c r="S67" s="20">
        <v>10000</v>
      </c>
      <c r="T67" s="20">
        <v>10000</v>
      </c>
      <c r="U67" s="15">
        <f t="shared" si="2"/>
        <v>37000</v>
      </c>
      <c r="V67" s="16">
        <f t="shared" si="0"/>
        <v>0</v>
      </c>
      <c r="W67" s="16">
        <f>N67+O67-'додаток сесія_2024_2028_161 (2'!O66</f>
        <v>0</v>
      </c>
    </row>
    <row r="68" spans="1:23" s="17" customFormat="1" ht="44.25" hidden="1" customHeight="1" x14ac:dyDescent="0.2">
      <c r="A68" s="22"/>
      <c r="B68" s="576"/>
      <c r="C68" s="63" t="s">
        <v>76</v>
      </c>
      <c r="D68" s="13" t="s">
        <v>73</v>
      </c>
      <c r="E68" s="531"/>
      <c r="F68" s="55" t="s">
        <v>13</v>
      </c>
      <c r="G68" s="15">
        <v>0</v>
      </c>
      <c r="H68" s="20">
        <v>0</v>
      </c>
      <c r="I68" s="20">
        <v>0</v>
      </c>
      <c r="J68" s="20">
        <v>0</v>
      </c>
      <c r="K68" s="20">
        <v>0</v>
      </c>
      <c r="L68" s="20">
        <v>1000</v>
      </c>
      <c r="M68" s="20">
        <v>3000</v>
      </c>
      <c r="N68" s="15">
        <f t="shared" si="1"/>
        <v>4000</v>
      </c>
      <c r="O68" s="20">
        <f>3000-3000</f>
        <v>0</v>
      </c>
      <c r="P68" s="20">
        <v>0</v>
      </c>
      <c r="Q68" s="20">
        <v>1500</v>
      </c>
      <c r="R68" s="20">
        <v>2000</v>
      </c>
      <c r="S68" s="20">
        <v>0</v>
      </c>
      <c r="T68" s="20">
        <v>0</v>
      </c>
      <c r="U68" s="15">
        <f t="shared" si="2"/>
        <v>7500</v>
      </c>
      <c r="V68" s="16">
        <f t="shared" si="0"/>
        <v>0</v>
      </c>
      <c r="W68" s="16">
        <f>N68+O68-'додаток сесія_2024_2028_161 (2'!O67</f>
        <v>0</v>
      </c>
    </row>
    <row r="69" spans="1:23" s="17" customFormat="1" ht="46.5" hidden="1" customHeight="1" x14ac:dyDescent="0.2">
      <c r="A69" s="574"/>
      <c r="B69" s="575"/>
      <c r="C69" s="63" t="s">
        <v>77</v>
      </c>
      <c r="D69" s="13" t="s">
        <v>73</v>
      </c>
      <c r="E69" s="531"/>
      <c r="F69" s="55" t="s">
        <v>13</v>
      </c>
      <c r="G69" s="15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6500</v>
      </c>
      <c r="N69" s="15">
        <f t="shared" si="1"/>
        <v>6500</v>
      </c>
      <c r="O69" s="20">
        <v>0</v>
      </c>
      <c r="P69" s="20">
        <v>0</v>
      </c>
      <c r="Q69" s="20">
        <v>0</v>
      </c>
      <c r="R69" s="20">
        <v>5500</v>
      </c>
      <c r="S69" s="20">
        <v>0</v>
      </c>
      <c r="T69" s="20">
        <v>0</v>
      </c>
      <c r="U69" s="15">
        <f t="shared" si="2"/>
        <v>12000</v>
      </c>
      <c r="V69" s="16">
        <f t="shared" si="0"/>
        <v>0</v>
      </c>
      <c r="W69" s="16">
        <f>N69+O69-'додаток сесія_2024_2028_161 (2'!O68</f>
        <v>0</v>
      </c>
    </row>
    <row r="70" spans="1:23" s="17" customFormat="1" ht="49.5" hidden="1" customHeight="1" x14ac:dyDescent="0.2">
      <c r="A70" s="575"/>
      <c r="B70" s="575"/>
      <c r="C70" s="63" t="s">
        <v>78</v>
      </c>
      <c r="D70" s="13" t="s">
        <v>73</v>
      </c>
      <c r="E70" s="531"/>
      <c r="F70" s="55" t="s">
        <v>13</v>
      </c>
      <c r="G70" s="15">
        <v>0</v>
      </c>
      <c r="H70" s="20">
        <v>0</v>
      </c>
      <c r="I70" s="20">
        <v>0</v>
      </c>
      <c r="J70" s="20">
        <v>0</v>
      </c>
      <c r="K70" s="20">
        <v>0</v>
      </c>
      <c r="L70" s="20">
        <f>10000-2100</f>
        <v>7900</v>
      </c>
      <c r="M70" s="20">
        <v>0</v>
      </c>
      <c r="N70" s="15">
        <f t="shared" si="1"/>
        <v>7900</v>
      </c>
      <c r="O70" s="20">
        <v>0</v>
      </c>
      <c r="P70" s="20">
        <v>0</v>
      </c>
      <c r="Q70" s="20">
        <v>300</v>
      </c>
      <c r="R70" s="20">
        <v>300</v>
      </c>
      <c r="S70" s="20">
        <v>0</v>
      </c>
      <c r="T70" s="20">
        <v>0</v>
      </c>
      <c r="U70" s="15">
        <f t="shared" si="2"/>
        <v>8500</v>
      </c>
      <c r="V70" s="16">
        <f t="shared" si="0"/>
        <v>0</v>
      </c>
      <c r="W70" s="16">
        <f>N70+O70-'додаток сесія_2024_2028_161 (2'!O69</f>
        <v>0</v>
      </c>
    </row>
    <row r="71" spans="1:23" s="17" customFormat="1" ht="48" hidden="1" customHeight="1" x14ac:dyDescent="0.2">
      <c r="A71" s="18"/>
      <c r="B71" s="30"/>
      <c r="C71" s="63" t="s">
        <v>392</v>
      </c>
      <c r="D71" s="13" t="s">
        <v>73</v>
      </c>
      <c r="E71" s="531"/>
      <c r="F71" s="55" t="s">
        <v>13</v>
      </c>
      <c r="G71" s="15">
        <v>0</v>
      </c>
      <c r="H71" s="20">
        <v>0</v>
      </c>
      <c r="I71" s="20">
        <v>0</v>
      </c>
      <c r="J71" s="20">
        <v>0</v>
      </c>
      <c r="K71" s="20">
        <v>0</v>
      </c>
      <c r="L71" s="20">
        <v>51559</v>
      </c>
      <c r="M71" s="20">
        <v>50074</v>
      </c>
      <c r="N71" s="15">
        <f t="shared" si="1"/>
        <v>101633</v>
      </c>
      <c r="O71" s="20">
        <v>51535</v>
      </c>
      <c r="P71" s="20">
        <v>63296.71587</v>
      </c>
      <c r="Q71" s="20">
        <v>69180.47911</v>
      </c>
      <c r="R71" s="20">
        <v>62949.17669</v>
      </c>
      <c r="S71" s="20">
        <v>59681.441910000001</v>
      </c>
      <c r="T71" s="20">
        <v>56045.670409999999</v>
      </c>
      <c r="U71" s="15">
        <f t="shared" si="2"/>
        <v>464321.48398999998</v>
      </c>
      <c r="V71" s="16">
        <f t="shared" si="0"/>
        <v>0</v>
      </c>
      <c r="W71" s="16">
        <f>N71+O71-'додаток сесія_2024_2028_161 (2'!O70</f>
        <v>0</v>
      </c>
    </row>
    <row r="72" spans="1:23" s="17" customFormat="1" ht="42.75" hidden="1" customHeight="1" x14ac:dyDescent="0.2">
      <c r="A72" s="18"/>
      <c r="B72" s="30"/>
      <c r="C72" s="63" t="s">
        <v>80</v>
      </c>
      <c r="D72" s="14" t="s">
        <v>73</v>
      </c>
      <c r="E72" s="534"/>
      <c r="F72" s="55" t="s">
        <v>13</v>
      </c>
      <c r="G72" s="15">
        <v>0</v>
      </c>
      <c r="H72" s="20">
        <v>0</v>
      </c>
      <c r="I72" s="20">
        <v>0</v>
      </c>
      <c r="J72" s="20">
        <v>0</v>
      </c>
      <c r="K72" s="20">
        <v>0</v>
      </c>
      <c r="L72" s="20">
        <f>307183.1-2334.6</f>
        <v>304848.5</v>
      </c>
      <c r="M72" s="15">
        <f>361442.2-1000</f>
        <v>360442.2</v>
      </c>
      <c r="N72" s="15">
        <f t="shared" si="1"/>
        <v>665290.69999999995</v>
      </c>
      <c r="O72" s="15">
        <v>449833.8</v>
      </c>
      <c r="P72" s="15">
        <v>550038.13575999998</v>
      </c>
      <c r="Q72" s="15">
        <v>575145.27782000008</v>
      </c>
      <c r="R72" s="15">
        <v>618980.48228000011</v>
      </c>
      <c r="S72" s="15">
        <v>666502.23373000009</v>
      </c>
      <c r="T72" s="15">
        <v>720843.09429999988</v>
      </c>
      <c r="U72" s="15">
        <f t="shared" si="2"/>
        <v>4246633.72389</v>
      </c>
      <c r="V72" s="16">
        <f t="shared" si="0"/>
        <v>0</v>
      </c>
      <c r="W72" s="16">
        <f>N72+O72-'додаток сесія_2024_2028_161 (2'!O71</f>
        <v>0</v>
      </c>
    </row>
    <row r="73" spans="1:23" s="17" customFormat="1" ht="41.25" hidden="1" customHeight="1" x14ac:dyDescent="0.2">
      <c r="A73" s="18"/>
      <c r="B73" s="30"/>
      <c r="C73" s="63" t="s">
        <v>81</v>
      </c>
      <c r="D73" s="14" t="s">
        <v>73</v>
      </c>
      <c r="E73" s="534"/>
      <c r="F73" s="55" t="s">
        <v>13</v>
      </c>
      <c r="G73" s="15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65">
        <v>2250</v>
      </c>
      <c r="N73" s="15">
        <f t="shared" si="1"/>
        <v>2250</v>
      </c>
      <c r="O73" s="65">
        <v>0</v>
      </c>
      <c r="P73" s="65">
        <v>3700</v>
      </c>
      <c r="Q73" s="65">
        <v>1500</v>
      </c>
      <c r="R73" s="65">
        <v>0</v>
      </c>
      <c r="S73" s="65">
        <v>0</v>
      </c>
      <c r="T73" s="65">
        <v>0</v>
      </c>
      <c r="U73" s="15">
        <f t="shared" si="2"/>
        <v>7450</v>
      </c>
      <c r="V73" s="16">
        <f t="shared" si="0"/>
        <v>0</v>
      </c>
      <c r="W73" s="16">
        <f>N73+O73-'додаток сесія_2024_2028_161 (2'!O72</f>
        <v>0</v>
      </c>
    </row>
    <row r="74" spans="1:23" s="17" customFormat="1" ht="45.75" hidden="1" customHeight="1" x14ac:dyDescent="0.2">
      <c r="A74" s="18"/>
      <c r="B74" s="30"/>
      <c r="C74" s="63" t="s">
        <v>82</v>
      </c>
      <c r="D74" s="14" t="s">
        <v>83</v>
      </c>
      <c r="E74" s="534"/>
      <c r="F74" s="55" t="s">
        <v>13</v>
      </c>
      <c r="G74" s="15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15">
        <f>72927.1+5360+16000</f>
        <v>94287.1</v>
      </c>
      <c r="N74" s="15">
        <f t="shared" si="1"/>
        <v>94287.1</v>
      </c>
      <c r="O74" s="15">
        <f>87444.4+18000+9200+4235-2850.5+3000</f>
        <v>119028.9</v>
      </c>
      <c r="P74" s="15">
        <v>241085.13451</v>
      </c>
      <c r="Q74" s="15">
        <v>305345.93681000004</v>
      </c>
      <c r="R74" s="15">
        <v>394183.52026999998</v>
      </c>
      <c r="S74" s="15">
        <v>496402.59255</v>
      </c>
      <c r="T74" s="15">
        <v>612403.79011000006</v>
      </c>
      <c r="U74" s="15">
        <f t="shared" si="2"/>
        <v>2262736.97425</v>
      </c>
      <c r="V74" s="16">
        <f t="shared" si="0"/>
        <v>0</v>
      </c>
      <c r="W74" s="16">
        <f>N74+O74-'додаток сесія_2024_2028_161 (2'!O73</f>
        <v>0</v>
      </c>
    </row>
    <row r="75" spans="1:23" s="17" customFormat="1" ht="44.25" hidden="1" customHeight="1" x14ac:dyDescent="0.2">
      <c r="A75" s="18"/>
      <c r="B75" s="30"/>
      <c r="C75" s="63" t="s">
        <v>84</v>
      </c>
      <c r="D75" s="14" t="s">
        <v>83</v>
      </c>
      <c r="E75" s="534"/>
      <c r="F75" s="55" t="s">
        <v>13</v>
      </c>
      <c r="G75" s="15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15">
        <v>1000</v>
      </c>
      <c r="N75" s="15">
        <f t="shared" si="1"/>
        <v>1000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f t="shared" si="2"/>
        <v>1000</v>
      </c>
      <c r="V75" s="16">
        <f t="shared" si="0"/>
        <v>0</v>
      </c>
      <c r="W75" s="16">
        <f>N75+O75-'додаток сесія_2024_2028_161 (2'!O74</f>
        <v>0</v>
      </c>
    </row>
    <row r="76" spans="1:23" s="17" customFormat="1" ht="40.5" hidden="1" customHeight="1" x14ac:dyDescent="0.2">
      <c r="A76" s="18"/>
      <c r="B76" s="30"/>
      <c r="C76" s="34" t="s">
        <v>85</v>
      </c>
      <c r="D76" s="35" t="s">
        <v>86</v>
      </c>
      <c r="E76" s="534"/>
      <c r="F76" s="55" t="s">
        <v>13</v>
      </c>
      <c r="G76" s="15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15">
        <v>0</v>
      </c>
      <c r="N76" s="15">
        <f t="shared" si="1"/>
        <v>0</v>
      </c>
      <c r="O76" s="15">
        <f>150000-25055</f>
        <v>124945</v>
      </c>
      <c r="P76" s="15">
        <v>140000</v>
      </c>
      <c r="Q76" s="15">
        <v>150000</v>
      </c>
      <c r="R76" s="15">
        <v>170000</v>
      </c>
      <c r="S76" s="15">
        <v>185000</v>
      </c>
      <c r="T76" s="15">
        <v>200000</v>
      </c>
      <c r="U76" s="15">
        <f t="shared" si="2"/>
        <v>969945</v>
      </c>
      <c r="V76" s="16">
        <f t="shared" si="0"/>
        <v>0</v>
      </c>
      <c r="W76" s="16">
        <f>N76+O76-'додаток сесія_2024_2028_161 (2'!O75</f>
        <v>0</v>
      </c>
    </row>
    <row r="77" spans="1:23" s="17" customFormat="1" ht="44.25" hidden="1" customHeight="1" x14ac:dyDescent="0.2">
      <c r="A77" s="18"/>
      <c r="B77" s="30"/>
      <c r="C77" s="68" t="s">
        <v>87</v>
      </c>
      <c r="D77" s="69" t="s">
        <v>88</v>
      </c>
      <c r="E77" s="70"/>
      <c r="F77" s="55" t="s">
        <v>13</v>
      </c>
      <c r="G77" s="15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15">
        <v>0</v>
      </c>
      <c r="N77" s="15">
        <f t="shared" si="1"/>
        <v>0</v>
      </c>
      <c r="O77" s="15">
        <v>0</v>
      </c>
      <c r="P77" s="15">
        <v>0</v>
      </c>
      <c r="Q77" s="15">
        <v>132000</v>
      </c>
      <c r="R77" s="15">
        <v>140000</v>
      </c>
      <c r="S77" s="15">
        <v>110000</v>
      </c>
      <c r="T77" s="15">
        <v>125000</v>
      </c>
      <c r="U77" s="15">
        <f t="shared" si="2"/>
        <v>507000</v>
      </c>
      <c r="V77" s="16">
        <f t="shared" ref="V77:V140" si="4">G77+H77+I77+J77+K77+L77+M77+O77+P77+Q77+R77+S77+T77-U77</f>
        <v>0</v>
      </c>
      <c r="W77" s="16">
        <f>N77+O77-'додаток сесія_2024_2028_161 (2'!O76</f>
        <v>0</v>
      </c>
    </row>
    <row r="78" spans="1:23" s="17" customFormat="1" ht="56.25" hidden="1" customHeight="1" x14ac:dyDescent="0.2">
      <c r="A78" s="534">
        <v>1</v>
      </c>
      <c r="B78" s="563" t="s">
        <v>9</v>
      </c>
      <c r="C78" s="71" t="s">
        <v>89</v>
      </c>
      <c r="D78" s="40" t="s">
        <v>88</v>
      </c>
      <c r="E78" s="565" t="s">
        <v>400</v>
      </c>
      <c r="F78" s="55" t="s">
        <v>13</v>
      </c>
      <c r="G78" s="15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15">
        <v>0</v>
      </c>
      <c r="N78" s="15">
        <f t="shared" ref="N78:N141" si="5">G78+H78+I78+J78+K78+L78+M78</f>
        <v>0</v>
      </c>
      <c r="O78" s="15">
        <v>0</v>
      </c>
      <c r="P78" s="15">
        <f>2000+1500</f>
        <v>3500</v>
      </c>
      <c r="Q78" s="15">
        <v>3000</v>
      </c>
      <c r="R78" s="15">
        <v>0</v>
      </c>
      <c r="S78" s="15">
        <v>0</v>
      </c>
      <c r="T78" s="15">
        <v>0</v>
      </c>
      <c r="U78" s="15">
        <f t="shared" ref="U78:U79" si="6">SUM(G78:T78)-N78</f>
        <v>6500</v>
      </c>
      <c r="V78" s="16">
        <f t="shared" si="4"/>
        <v>0</v>
      </c>
      <c r="W78" s="16">
        <f>N78+O78-'додаток сесія_2024_2028_161 (2'!O77</f>
        <v>0</v>
      </c>
    </row>
    <row r="79" spans="1:23" s="17" customFormat="1" ht="108" hidden="1" customHeight="1" x14ac:dyDescent="0.2">
      <c r="A79" s="18"/>
      <c r="B79" s="564"/>
      <c r="C79" s="71" t="s">
        <v>90</v>
      </c>
      <c r="D79" s="73" t="s">
        <v>88</v>
      </c>
      <c r="E79" s="566"/>
      <c r="F79" s="55" t="s">
        <v>13</v>
      </c>
      <c r="G79" s="15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15">
        <v>0</v>
      </c>
      <c r="N79" s="15">
        <f t="shared" si="5"/>
        <v>0</v>
      </c>
      <c r="O79" s="15">
        <v>0</v>
      </c>
      <c r="P79" s="15">
        <f>15000-1500</f>
        <v>13500</v>
      </c>
      <c r="Q79" s="15">
        <v>2000</v>
      </c>
      <c r="R79" s="15">
        <v>0</v>
      </c>
      <c r="S79" s="15">
        <v>0</v>
      </c>
      <c r="T79" s="15">
        <v>0</v>
      </c>
      <c r="U79" s="15">
        <f t="shared" si="6"/>
        <v>15500</v>
      </c>
      <c r="V79" s="16">
        <f t="shared" si="4"/>
        <v>0</v>
      </c>
      <c r="W79" s="16">
        <f>N79+O79-'додаток сесія_2024_2028_161 (2'!O78</f>
        <v>0</v>
      </c>
    </row>
    <row r="80" spans="1:23" s="17" customFormat="1" ht="45" hidden="1" customHeight="1" x14ac:dyDescent="0.2">
      <c r="A80" s="567" t="s">
        <v>91</v>
      </c>
      <c r="B80" s="568"/>
      <c r="C80" s="74"/>
      <c r="D80" s="75"/>
      <c r="E80" s="477"/>
      <c r="F80" s="55" t="s">
        <v>13</v>
      </c>
      <c r="G80" s="77">
        <f t="shared" ref="G80:T80" si="7">SUM(G13:G79)-G40</f>
        <v>115838.47999999998</v>
      </c>
      <c r="H80" s="77">
        <f t="shared" si="7"/>
        <v>214504.09999999998</v>
      </c>
      <c r="I80" s="77">
        <f t="shared" si="7"/>
        <v>240425.5</v>
      </c>
      <c r="J80" s="77">
        <f t="shared" si="7"/>
        <v>295414.2</v>
      </c>
      <c r="K80" s="77">
        <f t="shared" si="7"/>
        <v>449477.26</v>
      </c>
      <c r="L80" s="77">
        <f t="shared" si="7"/>
        <v>628078.5</v>
      </c>
      <c r="M80" s="77">
        <f>SUM(M13:M79)-M40</f>
        <v>664788.29999999993</v>
      </c>
      <c r="N80" s="77">
        <f>SUM(N13:N79)-N40</f>
        <v>2608526.3399999994</v>
      </c>
      <c r="O80" s="77">
        <f t="shared" si="7"/>
        <v>854868.20000000007</v>
      </c>
      <c r="P80" s="77">
        <f t="shared" si="7"/>
        <v>1049319.9861399999</v>
      </c>
      <c r="Q80" s="77">
        <f t="shared" si="7"/>
        <v>1351521.6937400002</v>
      </c>
      <c r="R80" s="77">
        <f t="shared" si="7"/>
        <v>1519313.17924</v>
      </c>
      <c r="S80" s="77">
        <f t="shared" si="7"/>
        <v>1640186.26819</v>
      </c>
      <c r="T80" s="77">
        <f t="shared" si="7"/>
        <v>1862292.55482</v>
      </c>
      <c r="U80" s="77">
        <f>SUM(U13:U79)-U40</f>
        <v>10886028.222130001</v>
      </c>
      <c r="V80" s="16">
        <f t="shared" si="4"/>
        <v>0</v>
      </c>
      <c r="W80" s="16">
        <f>N80+O80-'додаток сесія_2024_2028_161 (2'!O79</f>
        <v>0</v>
      </c>
    </row>
    <row r="81" spans="1:23" s="17" customFormat="1" ht="45" hidden="1" customHeight="1" x14ac:dyDescent="0.2">
      <c r="A81" s="534">
        <v>2</v>
      </c>
      <c r="B81" s="513" t="s">
        <v>92</v>
      </c>
      <c r="C81" s="79" t="s">
        <v>93</v>
      </c>
      <c r="D81" s="29" t="s">
        <v>11</v>
      </c>
      <c r="E81" s="514" t="s">
        <v>94</v>
      </c>
      <c r="F81" s="55" t="s">
        <v>13</v>
      </c>
      <c r="G81" s="15">
        <v>134514.32</v>
      </c>
      <c r="H81" s="15">
        <f>146683.2+8661.9</f>
        <v>155345.1</v>
      </c>
      <c r="I81" s="15">
        <v>209068.1</v>
      </c>
      <c r="J81" s="15">
        <v>224749.2</v>
      </c>
      <c r="K81" s="15">
        <v>310495.3</v>
      </c>
      <c r="L81" s="15">
        <f>24514+5642.2</f>
        <v>30156.2</v>
      </c>
      <c r="M81" s="15">
        <v>0</v>
      </c>
      <c r="N81" s="15">
        <f t="shared" si="5"/>
        <v>1064328.22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f>SUM(G81:T81)-N81</f>
        <v>1064328.22</v>
      </c>
      <c r="V81" s="16">
        <f t="shared" si="4"/>
        <v>0</v>
      </c>
      <c r="W81" s="16">
        <f>N81+O81-'додаток сесія_2024_2028_161 (2'!O80</f>
        <v>0</v>
      </c>
    </row>
    <row r="82" spans="1:23" s="17" customFormat="1" ht="48.75" hidden="1" customHeight="1" x14ac:dyDescent="0.2">
      <c r="A82" s="534"/>
      <c r="B82" s="528"/>
      <c r="C82" s="79" t="s">
        <v>95</v>
      </c>
      <c r="D82" s="35" t="s">
        <v>29</v>
      </c>
      <c r="E82" s="22"/>
      <c r="F82" s="55" t="s">
        <v>13</v>
      </c>
      <c r="G82" s="15">
        <v>3000</v>
      </c>
      <c r="H82" s="15">
        <v>12000</v>
      </c>
      <c r="I82" s="15">
        <v>3745</v>
      </c>
      <c r="J82" s="15">
        <v>8100</v>
      </c>
      <c r="K82" s="15">
        <v>9720</v>
      </c>
      <c r="L82" s="15">
        <f>0+979.5</f>
        <v>979.5</v>
      </c>
      <c r="M82" s="15">
        <v>0</v>
      </c>
      <c r="N82" s="15">
        <f t="shared" si="5"/>
        <v>37544.5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f t="shared" ref="U82:U145" si="8">SUM(G82:T82)-N82</f>
        <v>37544.5</v>
      </c>
      <c r="V82" s="16">
        <f t="shared" si="4"/>
        <v>0</v>
      </c>
      <c r="W82" s="16">
        <f>N82+O82-'додаток сесія_2024_2028_161 (2'!O81</f>
        <v>0</v>
      </c>
    </row>
    <row r="83" spans="1:23" s="17" customFormat="1" ht="44.25" hidden="1" customHeight="1" x14ac:dyDescent="0.2">
      <c r="A83" s="534"/>
      <c r="B83" s="528"/>
      <c r="C83" s="79" t="s">
        <v>96</v>
      </c>
      <c r="D83" s="14" t="s">
        <v>18</v>
      </c>
      <c r="E83" s="18" t="s">
        <v>97</v>
      </c>
      <c r="F83" s="55" t="s">
        <v>13</v>
      </c>
      <c r="G83" s="20">
        <v>0</v>
      </c>
      <c r="H83" s="15">
        <f>498.2+2700</f>
        <v>3198.2</v>
      </c>
      <c r="I83" s="15">
        <v>0</v>
      </c>
      <c r="J83" s="15">
        <v>2200</v>
      </c>
      <c r="K83" s="15">
        <v>5500</v>
      </c>
      <c r="L83" s="15">
        <v>0</v>
      </c>
      <c r="M83" s="15">
        <v>0</v>
      </c>
      <c r="N83" s="15">
        <f t="shared" si="5"/>
        <v>10898.2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f t="shared" si="8"/>
        <v>10898.2</v>
      </c>
      <c r="V83" s="16">
        <f t="shared" si="4"/>
        <v>0</v>
      </c>
      <c r="W83" s="16">
        <f>N83+O83-'додаток сесія_2024_2028_161 (2'!O82</f>
        <v>0</v>
      </c>
    </row>
    <row r="84" spans="1:23" s="17" customFormat="1" ht="45.75" hidden="1" customHeight="1" x14ac:dyDescent="0.2">
      <c r="A84" s="536"/>
      <c r="B84" s="528"/>
      <c r="C84" s="79" t="s">
        <v>98</v>
      </c>
      <c r="D84" s="14" t="s">
        <v>29</v>
      </c>
      <c r="E84" s="18"/>
      <c r="F84" s="55" t="s">
        <v>13</v>
      </c>
      <c r="G84" s="15">
        <v>909</v>
      </c>
      <c r="H84" s="15">
        <v>1500</v>
      </c>
      <c r="I84" s="15">
        <v>1700</v>
      </c>
      <c r="J84" s="15">
        <v>1354.7</v>
      </c>
      <c r="K84" s="15">
        <v>1339.3</v>
      </c>
      <c r="L84" s="15">
        <f>0+564</f>
        <v>564</v>
      </c>
      <c r="M84" s="15">
        <v>0</v>
      </c>
      <c r="N84" s="15">
        <f t="shared" si="5"/>
        <v>7367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f t="shared" si="8"/>
        <v>7367</v>
      </c>
      <c r="V84" s="16">
        <f t="shared" si="4"/>
        <v>0</v>
      </c>
      <c r="W84" s="16">
        <f>N84+O84-'додаток сесія_2024_2028_161 (2'!O83</f>
        <v>0</v>
      </c>
    </row>
    <row r="85" spans="1:23" s="17" customFormat="1" ht="57.75" hidden="1" customHeight="1" x14ac:dyDescent="0.2">
      <c r="A85" s="536"/>
      <c r="B85" s="80"/>
      <c r="C85" s="79" t="s">
        <v>99</v>
      </c>
      <c r="D85" s="14" t="s">
        <v>29</v>
      </c>
      <c r="E85" s="18"/>
      <c r="F85" s="55" t="s">
        <v>13</v>
      </c>
      <c r="G85" s="20">
        <v>0</v>
      </c>
      <c r="H85" s="20">
        <v>0</v>
      </c>
      <c r="I85" s="20">
        <v>0</v>
      </c>
      <c r="J85" s="15">
        <v>12867</v>
      </c>
      <c r="K85" s="20">
        <v>0</v>
      </c>
      <c r="L85" s="20">
        <v>0</v>
      </c>
      <c r="M85" s="20">
        <v>16000</v>
      </c>
      <c r="N85" s="15">
        <f t="shared" si="5"/>
        <v>28867</v>
      </c>
      <c r="O85" s="20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f t="shared" si="8"/>
        <v>28867</v>
      </c>
      <c r="V85" s="16">
        <f t="shared" si="4"/>
        <v>0</v>
      </c>
      <c r="W85" s="16">
        <f>N85+O85-'додаток сесія_2024_2028_161 (2'!O84</f>
        <v>0</v>
      </c>
    </row>
    <row r="86" spans="1:23" s="17" customFormat="1" ht="46.5" hidden="1" customHeight="1" x14ac:dyDescent="0.2">
      <c r="A86" s="524"/>
      <c r="B86" s="469"/>
      <c r="C86" s="79" t="s">
        <v>100</v>
      </c>
      <c r="D86" s="14" t="s">
        <v>29</v>
      </c>
      <c r="E86" s="478"/>
      <c r="F86" s="55" t="s">
        <v>13</v>
      </c>
      <c r="G86" s="20">
        <v>0</v>
      </c>
      <c r="H86" s="15">
        <v>16000</v>
      </c>
      <c r="I86" s="20">
        <v>0</v>
      </c>
      <c r="J86" s="20">
        <v>0</v>
      </c>
      <c r="K86" s="20">
        <v>7218</v>
      </c>
      <c r="L86" s="20">
        <v>20000</v>
      </c>
      <c r="M86" s="20">
        <v>0</v>
      </c>
      <c r="N86" s="15">
        <f t="shared" si="5"/>
        <v>43218</v>
      </c>
      <c r="O86" s="20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f t="shared" si="8"/>
        <v>43218</v>
      </c>
      <c r="V86" s="16">
        <f t="shared" si="4"/>
        <v>0</v>
      </c>
      <c r="W86" s="16">
        <f>N86+O86-'додаток сесія_2024_2028_161 (2'!O85</f>
        <v>0</v>
      </c>
    </row>
    <row r="87" spans="1:23" s="17" customFormat="1" ht="81.75" hidden="1" customHeight="1" x14ac:dyDescent="0.2">
      <c r="A87" s="536"/>
      <c r="B87" s="82"/>
      <c r="C87" s="79" t="s">
        <v>396</v>
      </c>
      <c r="D87" s="13" t="s">
        <v>29</v>
      </c>
      <c r="E87" s="473"/>
      <c r="F87" s="55" t="s">
        <v>13</v>
      </c>
      <c r="G87" s="20">
        <v>0</v>
      </c>
      <c r="H87" s="15">
        <v>6000</v>
      </c>
      <c r="I87" s="20">
        <v>0</v>
      </c>
      <c r="J87" s="20">
        <v>8000</v>
      </c>
      <c r="K87" s="20">
        <v>0</v>
      </c>
      <c r="L87" s="20">
        <v>7042</v>
      </c>
      <c r="M87" s="20">
        <v>0</v>
      </c>
      <c r="N87" s="15">
        <f t="shared" si="5"/>
        <v>21042</v>
      </c>
      <c r="O87" s="20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f t="shared" si="8"/>
        <v>21042</v>
      </c>
      <c r="V87" s="16">
        <f t="shared" si="4"/>
        <v>0</v>
      </c>
      <c r="W87" s="16">
        <f>N87+O87-'додаток сесія_2024_2028_161 (2'!O86</f>
        <v>0</v>
      </c>
    </row>
    <row r="88" spans="1:23" s="17" customFormat="1" ht="42" hidden="1" customHeight="1" x14ac:dyDescent="0.2">
      <c r="A88" s="536"/>
      <c r="B88" s="19"/>
      <c r="C88" s="79" t="s">
        <v>102</v>
      </c>
      <c r="D88" s="23" t="s">
        <v>18</v>
      </c>
      <c r="E88" s="473"/>
      <c r="F88" s="55" t="s">
        <v>13</v>
      </c>
      <c r="G88" s="20">
        <v>0</v>
      </c>
      <c r="H88" s="15">
        <v>143</v>
      </c>
      <c r="I88" s="15">
        <v>195</v>
      </c>
      <c r="J88" s="15">
        <v>105</v>
      </c>
      <c r="K88" s="15">
        <v>105</v>
      </c>
      <c r="L88" s="15">
        <v>0</v>
      </c>
      <c r="M88" s="15">
        <v>0</v>
      </c>
      <c r="N88" s="15">
        <f t="shared" si="5"/>
        <v>548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f t="shared" si="8"/>
        <v>548</v>
      </c>
      <c r="V88" s="16">
        <f t="shared" si="4"/>
        <v>0</v>
      </c>
      <c r="W88" s="16">
        <f>N88+O88-'додаток сесія_2024_2028_161 (2'!O87</f>
        <v>0</v>
      </c>
    </row>
    <row r="89" spans="1:23" s="17" customFormat="1" ht="48.75" hidden="1" customHeight="1" x14ac:dyDescent="0.2">
      <c r="A89" s="536"/>
      <c r="B89" s="82"/>
      <c r="C89" s="79" t="s">
        <v>103</v>
      </c>
      <c r="D89" s="13" t="s">
        <v>18</v>
      </c>
      <c r="E89" s="473"/>
      <c r="F89" s="55" t="s">
        <v>13</v>
      </c>
      <c r="G89" s="20">
        <v>0</v>
      </c>
      <c r="H89" s="15">
        <v>1530.8</v>
      </c>
      <c r="I89" s="15">
        <v>490</v>
      </c>
      <c r="J89" s="15">
        <v>890</v>
      </c>
      <c r="K89" s="15">
        <v>0</v>
      </c>
      <c r="L89" s="15">
        <v>0</v>
      </c>
      <c r="M89" s="15">
        <v>0</v>
      </c>
      <c r="N89" s="15">
        <f t="shared" si="5"/>
        <v>2910.8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f t="shared" si="8"/>
        <v>2910.8</v>
      </c>
      <c r="V89" s="16">
        <f t="shared" si="4"/>
        <v>0</v>
      </c>
      <c r="W89" s="16">
        <f>N89+O89-'додаток сесія_2024_2028_161 (2'!O88</f>
        <v>0</v>
      </c>
    </row>
    <row r="90" spans="1:23" s="17" customFormat="1" ht="44.25" hidden="1" customHeight="1" x14ac:dyDescent="0.2">
      <c r="A90" s="536"/>
      <c r="B90" s="82"/>
      <c r="C90" s="79" t="s">
        <v>104</v>
      </c>
      <c r="D90" s="13" t="s">
        <v>29</v>
      </c>
      <c r="E90" s="473"/>
      <c r="F90" s="55" t="s">
        <v>13</v>
      </c>
      <c r="G90" s="20">
        <v>0</v>
      </c>
      <c r="H90" s="15">
        <v>8085</v>
      </c>
      <c r="I90" s="15">
        <v>290.89999999999998</v>
      </c>
      <c r="J90" s="15">
        <v>7367</v>
      </c>
      <c r="K90" s="15">
        <v>8499.5</v>
      </c>
      <c r="L90" s="15">
        <v>62100</v>
      </c>
      <c r="M90" s="15">
        <v>66000</v>
      </c>
      <c r="N90" s="15">
        <f t="shared" si="5"/>
        <v>152342.39999999999</v>
      </c>
      <c r="O90" s="15">
        <v>72600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f t="shared" si="8"/>
        <v>224942.4</v>
      </c>
      <c r="V90" s="16">
        <f t="shared" si="4"/>
        <v>0</v>
      </c>
      <c r="W90" s="16">
        <f>N90+O90-'додаток сесія_2024_2028_161 (2'!O89</f>
        <v>0</v>
      </c>
    </row>
    <row r="91" spans="1:23" s="17" customFormat="1" ht="43.5" hidden="1" customHeight="1" x14ac:dyDescent="0.2">
      <c r="A91" s="536"/>
      <c r="B91" s="30"/>
      <c r="C91" s="83" t="s">
        <v>105</v>
      </c>
      <c r="D91" s="35" t="s">
        <v>18</v>
      </c>
      <c r="E91" s="18"/>
      <c r="F91" s="55" t="s">
        <v>13</v>
      </c>
      <c r="G91" s="20">
        <v>0</v>
      </c>
      <c r="H91" s="15">
        <f>552+228</f>
        <v>780</v>
      </c>
      <c r="I91" s="15">
        <f>1936+2784</f>
        <v>4720</v>
      </c>
      <c r="J91" s="15">
        <f>1936+2784</f>
        <v>4720</v>
      </c>
      <c r="K91" s="15">
        <v>4720</v>
      </c>
      <c r="L91" s="15">
        <v>0</v>
      </c>
      <c r="M91" s="15">
        <v>0</v>
      </c>
      <c r="N91" s="15">
        <f t="shared" si="5"/>
        <v>14940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f t="shared" si="8"/>
        <v>14940</v>
      </c>
      <c r="V91" s="16">
        <f t="shared" si="4"/>
        <v>0</v>
      </c>
      <c r="W91" s="16">
        <f>N91+O91-'додаток сесія_2024_2028_161 (2'!O90</f>
        <v>0</v>
      </c>
    </row>
    <row r="92" spans="1:23" s="17" customFormat="1" ht="42" hidden="1" customHeight="1" x14ac:dyDescent="0.2">
      <c r="A92" s="535"/>
      <c r="B92" s="84"/>
      <c r="C92" s="85" t="s">
        <v>106</v>
      </c>
      <c r="D92" s="29" t="s">
        <v>18</v>
      </c>
      <c r="E92" s="18"/>
      <c r="F92" s="55" t="s">
        <v>13</v>
      </c>
      <c r="G92" s="20">
        <v>0</v>
      </c>
      <c r="H92" s="15">
        <v>176</v>
      </c>
      <c r="I92" s="15">
        <v>500</v>
      </c>
      <c r="J92" s="15">
        <v>0</v>
      </c>
      <c r="K92" s="15">
        <v>0</v>
      </c>
      <c r="L92" s="15">
        <v>0</v>
      </c>
      <c r="M92" s="15">
        <v>0</v>
      </c>
      <c r="N92" s="15">
        <f t="shared" si="5"/>
        <v>676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f t="shared" si="8"/>
        <v>676</v>
      </c>
      <c r="V92" s="16">
        <f t="shared" si="4"/>
        <v>0</v>
      </c>
      <c r="W92" s="16">
        <f>N92+O92-'додаток сесія_2024_2028_161 (2'!O91</f>
        <v>0</v>
      </c>
    </row>
    <row r="93" spans="1:23" s="17" customFormat="1" ht="72" hidden="1" customHeight="1" x14ac:dyDescent="0.2">
      <c r="A93" s="86"/>
      <c r="B93" s="87"/>
      <c r="C93" s="79" t="s">
        <v>363</v>
      </c>
      <c r="D93" s="14">
        <v>2019</v>
      </c>
      <c r="E93" s="479"/>
      <c r="F93" s="55" t="s">
        <v>13</v>
      </c>
      <c r="G93" s="20">
        <v>0</v>
      </c>
      <c r="H93" s="15">
        <v>0</v>
      </c>
      <c r="I93" s="15">
        <v>0</v>
      </c>
      <c r="J93" s="15">
        <v>240</v>
      </c>
      <c r="K93" s="15">
        <v>0</v>
      </c>
      <c r="L93" s="15">
        <v>0</v>
      </c>
      <c r="M93" s="15">
        <v>0</v>
      </c>
      <c r="N93" s="15">
        <f t="shared" si="5"/>
        <v>240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f t="shared" si="8"/>
        <v>240</v>
      </c>
      <c r="V93" s="16">
        <f t="shared" si="4"/>
        <v>0</v>
      </c>
      <c r="W93" s="16">
        <f>N93+O93-'додаток сесія_2024_2028_161 (2'!O92</f>
        <v>0</v>
      </c>
    </row>
    <row r="94" spans="1:23" s="17" customFormat="1" ht="42.75" hidden="1" customHeight="1" x14ac:dyDescent="0.2">
      <c r="A94" s="535"/>
      <c r="B94" s="84"/>
      <c r="C94" s="79" t="s">
        <v>107</v>
      </c>
      <c r="D94" s="13">
        <v>2020</v>
      </c>
      <c r="E94" s="473"/>
      <c r="F94" s="55" t="s">
        <v>13</v>
      </c>
      <c r="G94" s="20">
        <v>0</v>
      </c>
      <c r="H94" s="15">
        <v>0</v>
      </c>
      <c r="I94" s="15">
        <v>0</v>
      </c>
      <c r="J94" s="15">
        <v>0</v>
      </c>
      <c r="K94" s="15">
        <v>1334.27</v>
      </c>
      <c r="L94" s="15">
        <v>0</v>
      </c>
      <c r="M94" s="15">
        <v>0</v>
      </c>
      <c r="N94" s="15">
        <f t="shared" si="5"/>
        <v>1334.27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f t="shared" si="8"/>
        <v>1334.27</v>
      </c>
      <c r="V94" s="16">
        <f t="shared" si="4"/>
        <v>0</v>
      </c>
      <c r="W94" s="16">
        <f>N94+O94-'додаток сесія_2024_2028_161 (2'!O93</f>
        <v>0</v>
      </c>
    </row>
    <row r="95" spans="1:23" s="17" customFormat="1" ht="42.75" hidden="1" customHeight="1" x14ac:dyDescent="0.2">
      <c r="A95" s="535"/>
      <c r="B95" s="84"/>
      <c r="C95" s="79" t="s">
        <v>108</v>
      </c>
      <c r="D95" s="13" t="s">
        <v>109</v>
      </c>
      <c r="E95" s="473"/>
      <c r="F95" s="55" t="s">
        <v>13</v>
      </c>
      <c r="G95" s="20">
        <v>0</v>
      </c>
      <c r="H95" s="15">
        <v>0</v>
      </c>
      <c r="I95" s="15">
        <v>0</v>
      </c>
      <c r="J95" s="15">
        <v>0</v>
      </c>
      <c r="K95" s="15">
        <v>3500</v>
      </c>
      <c r="L95" s="15">
        <f>4500</f>
        <v>4500</v>
      </c>
      <c r="M95" s="15">
        <f>0+4500</f>
        <v>4500</v>
      </c>
      <c r="N95" s="15">
        <f t="shared" si="5"/>
        <v>12500</v>
      </c>
      <c r="O95" s="15">
        <v>4800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f t="shared" si="8"/>
        <v>17300</v>
      </c>
      <c r="V95" s="16">
        <f t="shared" si="4"/>
        <v>0</v>
      </c>
      <c r="W95" s="16">
        <f>N95+O95-'додаток сесія_2024_2028_161 (2'!O94</f>
        <v>0</v>
      </c>
    </row>
    <row r="96" spans="1:23" s="17" customFormat="1" ht="59.25" hidden="1" customHeight="1" x14ac:dyDescent="0.2">
      <c r="A96" s="535"/>
      <c r="B96" s="329"/>
      <c r="C96" s="79" t="s">
        <v>397</v>
      </c>
      <c r="D96" s="13">
        <v>2019</v>
      </c>
      <c r="E96" s="473"/>
      <c r="F96" s="55" t="s">
        <v>13</v>
      </c>
      <c r="G96" s="20">
        <v>0</v>
      </c>
      <c r="H96" s="15">
        <v>0</v>
      </c>
      <c r="I96" s="15">
        <v>0</v>
      </c>
      <c r="J96" s="15">
        <v>5200</v>
      </c>
      <c r="K96" s="15">
        <v>0</v>
      </c>
      <c r="L96" s="15">
        <v>0</v>
      </c>
      <c r="M96" s="15">
        <v>0</v>
      </c>
      <c r="N96" s="15">
        <f t="shared" si="5"/>
        <v>5200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f t="shared" si="8"/>
        <v>5200</v>
      </c>
      <c r="V96" s="16">
        <f t="shared" si="4"/>
        <v>0</v>
      </c>
      <c r="W96" s="16">
        <f>N96+O96-'додаток сесія_2024_2028_161 (2'!O95</f>
        <v>0</v>
      </c>
    </row>
    <row r="97" spans="1:23" s="17" customFormat="1" ht="71.25" hidden="1" customHeight="1" x14ac:dyDescent="0.2">
      <c r="A97" s="535"/>
      <c r="B97" s="329"/>
      <c r="C97" s="79" t="s">
        <v>111</v>
      </c>
      <c r="D97" s="23" t="s">
        <v>61</v>
      </c>
      <c r="E97" s="473"/>
      <c r="F97" s="55" t="s">
        <v>13</v>
      </c>
      <c r="G97" s="20">
        <v>0</v>
      </c>
      <c r="H97" s="15">
        <v>0</v>
      </c>
      <c r="I97" s="15">
        <v>0</v>
      </c>
      <c r="J97" s="15">
        <v>400</v>
      </c>
      <c r="K97" s="15">
        <v>0</v>
      </c>
      <c r="L97" s="15">
        <v>69.55</v>
      </c>
      <c r="M97" s="15">
        <v>0</v>
      </c>
      <c r="N97" s="15">
        <f t="shared" si="5"/>
        <v>469.55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f t="shared" si="8"/>
        <v>469.55</v>
      </c>
      <c r="V97" s="16">
        <f t="shared" si="4"/>
        <v>0</v>
      </c>
      <c r="W97" s="16">
        <f>N97+O97-'додаток сесія_2024_2028_161 (2'!O96</f>
        <v>0</v>
      </c>
    </row>
    <row r="98" spans="1:23" s="17" customFormat="1" ht="46.5" hidden="1" customHeight="1" x14ac:dyDescent="0.2">
      <c r="A98" s="535"/>
      <c r="B98" s="84"/>
      <c r="C98" s="79" t="s">
        <v>112</v>
      </c>
      <c r="D98" s="13" t="s">
        <v>68</v>
      </c>
      <c r="E98" s="473"/>
      <c r="F98" s="55" t="s">
        <v>13</v>
      </c>
      <c r="G98" s="20">
        <v>0</v>
      </c>
      <c r="H98" s="15">
        <v>0</v>
      </c>
      <c r="I98" s="15">
        <v>0</v>
      </c>
      <c r="J98" s="15">
        <v>30000</v>
      </c>
      <c r="K98" s="15">
        <v>0</v>
      </c>
      <c r="L98" s="15">
        <v>0</v>
      </c>
      <c r="M98" s="15">
        <v>0</v>
      </c>
      <c r="N98" s="15">
        <f t="shared" si="5"/>
        <v>30000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f t="shared" si="8"/>
        <v>30000</v>
      </c>
      <c r="V98" s="16">
        <f t="shared" si="4"/>
        <v>0</v>
      </c>
      <c r="W98" s="16">
        <f>N98+O98-'додаток сесія_2024_2028_161 (2'!O97</f>
        <v>0</v>
      </c>
    </row>
    <row r="99" spans="1:23" s="17" customFormat="1" ht="56.25" hidden="1" customHeight="1" x14ac:dyDescent="0.2">
      <c r="A99" s="534"/>
      <c r="B99" s="30"/>
      <c r="C99" s="79" t="s">
        <v>113</v>
      </c>
      <c r="D99" s="35" t="s">
        <v>61</v>
      </c>
      <c r="E99" s="18"/>
      <c r="F99" s="55" t="s">
        <v>13</v>
      </c>
      <c r="G99" s="20">
        <v>0</v>
      </c>
      <c r="H99" s="15">
        <v>0</v>
      </c>
      <c r="I99" s="15">
        <v>0</v>
      </c>
      <c r="J99" s="15">
        <v>7000</v>
      </c>
      <c r="K99" s="15">
        <v>13389</v>
      </c>
      <c r="L99" s="15">
        <f>0+4455</f>
        <v>4455</v>
      </c>
      <c r="M99" s="15">
        <f>0+2600+2000</f>
        <v>4600</v>
      </c>
      <c r="N99" s="15">
        <f t="shared" si="5"/>
        <v>29444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f t="shared" si="8"/>
        <v>29444</v>
      </c>
      <c r="V99" s="16">
        <f t="shared" si="4"/>
        <v>0</v>
      </c>
      <c r="W99" s="16">
        <f>N99+O99-'додаток сесія_2024_2028_161 (2'!O98</f>
        <v>0</v>
      </c>
    </row>
    <row r="100" spans="1:23" s="17" customFormat="1" ht="71.25" hidden="1" customHeight="1" x14ac:dyDescent="0.2">
      <c r="A100" s="86"/>
      <c r="B100" s="87"/>
      <c r="C100" s="79" t="s">
        <v>398</v>
      </c>
      <c r="D100" s="14" t="s">
        <v>109</v>
      </c>
      <c r="E100" s="18"/>
      <c r="F100" s="55" t="s">
        <v>13</v>
      </c>
      <c r="G100" s="20">
        <v>0</v>
      </c>
      <c r="H100" s="20">
        <v>0</v>
      </c>
      <c r="I100" s="20">
        <v>0</v>
      </c>
      <c r="J100" s="20">
        <v>0</v>
      </c>
      <c r="K100" s="15">
        <v>200</v>
      </c>
      <c r="L100" s="15">
        <v>97.64</v>
      </c>
      <c r="M100" s="15">
        <v>0</v>
      </c>
      <c r="N100" s="15">
        <f t="shared" si="5"/>
        <v>297.64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f t="shared" si="8"/>
        <v>297.64</v>
      </c>
      <c r="V100" s="16">
        <f t="shared" si="4"/>
        <v>0</v>
      </c>
      <c r="W100" s="16">
        <f>N100+O100-'додаток сесія_2024_2028_161 (2'!O99</f>
        <v>0</v>
      </c>
    </row>
    <row r="101" spans="1:23" s="17" customFormat="1" ht="41.25" hidden="1" customHeight="1" x14ac:dyDescent="0.2">
      <c r="A101" s="535"/>
      <c r="B101" s="84"/>
      <c r="C101" s="79" t="s">
        <v>115</v>
      </c>
      <c r="D101" s="13">
        <v>2020</v>
      </c>
      <c r="E101" s="473"/>
      <c r="F101" s="55" t="s">
        <v>13</v>
      </c>
      <c r="G101" s="20">
        <v>0</v>
      </c>
      <c r="H101" s="15">
        <v>0</v>
      </c>
      <c r="I101" s="15">
        <v>0</v>
      </c>
      <c r="J101" s="15">
        <v>0</v>
      </c>
      <c r="K101" s="15">
        <v>50000</v>
      </c>
      <c r="L101" s="15">
        <v>0</v>
      </c>
      <c r="M101" s="15">
        <v>0</v>
      </c>
      <c r="N101" s="15">
        <f t="shared" si="5"/>
        <v>50000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f t="shared" si="8"/>
        <v>50000</v>
      </c>
      <c r="V101" s="16">
        <f t="shared" si="4"/>
        <v>0</v>
      </c>
      <c r="W101" s="16">
        <f>N101+O101-'додаток сесія_2024_2028_161 (2'!O100</f>
        <v>0</v>
      </c>
    </row>
    <row r="102" spans="1:23" s="17" customFormat="1" ht="36" hidden="1" customHeight="1" x14ac:dyDescent="0.2">
      <c r="A102" s="535"/>
      <c r="B102" s="84"/>
      <c r="C102" s="79" t="s">
        <v>116</v>
      </c>
      <c r="D102" s="13">
        <v>2020</v>
      </c>
      <c r="E102" s="473"/>
      <c r="F102" s="55" t="s">
        <v>13</v>
      </c>
      <c r="G102" s="20">
        <v>0</v>
      </c>
      <c r="H102" s="15">
        <v>0</v>
      </c>
      <c r="I102" s="15">
        <v>0</v>
      </c>
      <c r="J102" s="15">
        <v>0</v>
      </c>
      <c r="K102" s="15">
        <v>690</v>
      </c>
      <c r="L102" s="15">
        <v>0</v>
      </c>
      <c r="M102" s="15">
        <v>0</v>
      </c>
      <c r="N102" s="15">
        <f t="shared" si="5"/>
        <v>690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f t="shared" si="8"/>
        <v>690</v>
      </c>
      <c r="V102" s="16">
        <f t="shared" si="4"/>
        <v>0</v>
      </c>
      <c r="W102" s="16">
        <f>N102+O102-'додаток сесія_2024_2028_161 (2'!O101</f>
        <v>0</v>
      </c>
    </row>
    <row r="103" spans="1:23" s="17" customFormat="1" ht="48.75" hidden="1" customHeight="1" x14ac:dyDescent="0.2">
      <c r="A103" s="330"/>
      <c r="B103" s="471"/>
      <c r="C103" s="83" t="s">
        <v>402</v>
      </c>
      <c r="D103" s="23">
        <v>2020</v>
      </c>
      <c r="E103" s="474"/>
      <c r="F103" s="55" t="s">
        <v>13</v>
      </c>
      <c r="G103" s="20">
        <v>0</v>
      </c>
      <c r="H103" s="15">
        <v>0</v>
      </c>
      <c r="I103" s="15">
        <v>0</v>
      </c>
      <c r="J103" s="15">
        <v>0</v>
      </c>
      <c r="K103" s="15">
        <v>900</v>
      </c>
      <c r="L103" s="15">
        <v>0</v>
      </c>
      <c r="M103" s="15">
        <v>0</v>
      </c>
      <c r="N103" s="15">
        <f t="shared" si="5"/>
        <v>900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f t="shared" si="8"/>
        <v>900</v>
      </c>
      <c r="V103" s="16">
        <f t="shared" si="4"/>
        <v>0</v>
      </c>
      <c r="W103" s="16">
        <f>N103+O103-'додаток сесія_2024_2028_161 (2'!O102</f>
        <v>0</v>
      </c>
    </row>
    <row r="104" spans="1:23" s="17" customFormat="1" ht="68.25" hidden="1" customHeight="1" x14ac:dyDescent="0.2">
      <c r="A104" s="88"/>
      <c r="B104" s="89"/>
      <c r="C104" s="85" t="s">
        <v>118</v>
      </c>
      <c r="D104" s="28" t="s">
        <v>109</v>
      </c>
      <c r="E104" s="473"/>
      <c r="F104" s="55" t="s">
        <v>13</v>
      </c>
      <c r="G104" s="20">
        <v>0</v>
      </c>
      <c r="H104" s="15">
        <v>0</v>
      </c>
      <c r="I104" s="15">
        <v>0</v>
      </c>
      <c r="J104" s="15">
        <v>0</v>
      </c>
      <c r="K104" s="15">
        <v>2334.5</v>
      </c>
      <c r="L104" s="15">
        <v>1892.3</v>
      </c>
      <c r="M104" s="15">
        <v>0</v>
      </c>
      <c r="N104" s="15">
        <f t="shared" si="5"/>
        <v>4226.8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f t="shared" si="8"/>
        <v>4226.8</v>
      </c>
      <c r="V104" s="16">
        <f t="shared" si="4"/>
        <v>0</v>
      </c>
      <c r="W104" s="16">
        <f>N104+O104-'додаток сесія_2024_2028_161 (2'!O103</f>
        <v>0</v>
      </c>
    </row>
    <row r="105" spans="1:23" s="17" customFormat="1" ht="41.25" hidden="1" customHeight="1" x14ac:dyDescent="0.2">
      <c r="A105" s="88"/>
      <c r="B105" s="89"/>
      <c r="C105" s="79" t="s">
        <v>119</v>
      </c>
      <c r="D105" s="13" t="s">
        <v>109</v>
      </c>
      <c r="E105" s="531"/>
      <c r="F105" s="55" t="s">
        <v>13</v>
      </c>
      <c r="G105" s="20">
        <v>0</v>
      </c>
      <c r="H105" s="15">
        <v>0</v>
      </c>
      <c r="I105" s="15">
        <v>0</v>
      </c>
      <c r="J105" s="15">
        <v>0</v>
      </c>
      <c r="K105" s="15">
        <v>1168.73</v>
      </c>
      <c r="L105" s="15">
        <f>0+320.8</f>
        <v>320.8</v>
      </c>
      <c r="M105" s="15">
        <v>0</v>
      </c>
      <c r="N105" s="15">
        <f t="shared" si="5"/>
        <v>1489.53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f t="shared" si="8"/>
        <v>1489.53</v>
      </c>
      <c r="V105" s="16">
        <f t="shared" si="4"/>
        <v>0</v>
      </c>
      <c r="W105" s="16">
        <f>N105+O105-'додаток сесія_2024_2028_161 (2'!O104</f>
        <v>0</v>
      </c>
    </row>
    <row r="106" spans="1:23" s="17" customFormat="1" ht="58.5" hidden="1" customHeight="1" x14ac:dyDescent="0.2">
      <c r="A106" s="88"/>
      <c r="B106" s="89"/>
      <c r="C106" s="79" t="s">
        <v>403</v>
      </c>
      <c r="D106" s="13" t="s">
        <v>121</v>
      </c>
      <c r="E106" s="531"/>
      <c r="F106" s="55" t="s">
        <v>13</v>
      </c>
      <c r="G106" s="20">
        <v>0</v>
      </c>
      <c r="H106" s="15">
        <v>0</v>
      </c>
      <c r="I106" s="15">
        <v>0</v>
      </c>
      <c r="J106" s="15">
        <v>0</v>
      </c>
      <c r="K106" s="15">
        <v>500</v>
      </c>
      <c r="L106" s="15">
        <v>500</v>
      </c>
      <c r="M106" s="15">
        <v>0</v>
      </c>
      <c r="N106" s="15">
        <f t="shared" si="5"/>
        <v>1000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f t="shared" si="8"/>
        <v>1000</v>
      </c>
      <c r="V106" s="16">
        <f t="shared" si="4"/>
        <v>0</v>
      </c>
      <c r="W106" s="16">
        <f>N106+O106-'додаток сесія_2024_2028_161 (2'!O105</f>
        <v>0</v>
      </c>
    </row>
    <row r="107" spans="1:23" s="17" customFormat="1" ht="165" hidden="1" customHeight="1" x14ac:dyDescent="0.2">
      <c r="A107" s="516">
        <v>2</v>
      </c>
      <c r="B107" s="515"/>
      <c r="C107" s="79" t="s">
        <v>122</v>
      </c>
      <c r="D107" s="13" t="s">
        <v>73</v>
      </c>
      <c r="E107" s="514" t="s">
        <v>94</v>
      </c>
      <c r="F107" s="55" t="s">
        <v>13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15">
        <v>5200</v>
      </c>
      <c r="M107" s="15">
        <f>2860-2860</f>
        <v>0</v>
      </c>
      <c r="N107" s="15">
        <f t="shared" si="5"/>
        <v>5200</v>
      </c>
      <c r="O107" s="15">
        <v>3150</v>
      </c>
      <c r="P107" s="15">
        <f>5500-2000</f>
        <v>3500</v>
      </c>
      <c r="Q107" s="15">
        <v>0</v>
      </c>
      <c r="R107" s="15">
        <v>5600</v>
      </c>
      <c r="S107" s="15">
        <v>0</v>
      </c>
      <c r="T107" s="15">
        <v>0</v>
      </c>
      <c r="U107" s="15">
        <f t="shared" si="8"/>
        <v>17450</v>
      </c>
      <c r="V107" s="16">
        <f t="shared" si="4"/>
        <v>0</v>
      </c>
      <c r="W107" s="16">
        <f>N107+O107-'додаток сесія_2024_2028_161 (2'!O106</f>
        <v>0</v>
      </c>
    </row>
    <row r="108" spans="1:23" s="17" customFormat="1" ht="48" hidden="1" customHeight="1" x14ac:dyDescent="0.2">
      <c r="A108" s="88"/>
      <c r="B108" s="90"/>
      <c r="C108" s="79" t="s">
        <v>123</v>
      </c>
      <c r="D108" s="23" t="s">
        <v>71</v>
      </c>
      <c r="E108" s="531" t="s">
        <v>124</v>
      </c>
      <c r="F108" s="55" t="s">
        <v>13</v>
      </c>
      <c r="G108" s="20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2300</v>
      </c>
      <c r="M108" s="15">
        <v>0</v>
      </c>
      <c r="N108" s="15">
        <f t="shared" si="5"/>
        <v>2300</v>
      </c>
      <c r="O108" s="15">
        <v>2800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f t="shared" si="8"/>
        <v>5100</v>
      </c>
      <c r="V108" s="16">
        <f t="shared" si="4"/>
        <v>0</v>
      </c>
      <c r="W108" s="16">
        <f>N108+O108-'додаток сесія_2024_2028_161 (2'!O107</f>
        <v>0</v>
      </c>
    </row>
    <row r="109" spans="1:23" s="17" customFormat="1" ht="48.75" hidden="1" customHeight="1" x14ac:dyDescent="0.2">
      <c r="A109" s="88"/>
      <c r="B109" s="89"/>
      <c r="C109" s="79" t="s">
        <v>125</v>
      </c>
      <c r="D109" s="13" t="s">
        <v>71</v>
      </c>
      <c r="E109" s="531"/>
      <c r="F109" s="55" t="s">
        <v>13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15">
        <v>24900</v>
      </c>
      <c r="M109" s="15">
        <f>27309.5-27309.5</f>
        <v>0</v>
      </c>
      <c r="N109" s="15">
        <f t="shared" si="5"/>
        <v>24900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f t="shared" si="8"/>
        <v>24900</v>
      </c>
      <c r="V109" s="16">
        <f t="shared" si="4"/>
        <v>0</v>
      </c>
      <c r="W109" s="16">
        <f>N109+O109-'додаток сесія_2024_2028_161 (2'!O108</f>
        <v>0</v>
      </c>
    </row>
    <row r="110" spans="1:23" s="17" customFormat="1" ht="44.25" hidden="1" customHeight="1" x14ac:dyDescent="0.2">
      <c r="A110" s="88"/>
      <c r="B110" s="89"/>
      <c r="C110" s="79" t="s">
        <v>126</v>
      </c>
      <c r="D110" s="13" t="s">
        <v>71</v>
      </c>
      <c r="E110" s="531"/>
      <c r="F110" s="55" t="s">
        <v>13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15">
        <v>1000</v>
      </c>
      <c r="M110" s="15">
        <v>0</v>
      </c>
      <c r="N110" s="15">
        <f t="shared" si="5"/>
        <v>1000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f t="shared" si="8"/>
        <v>1000</v>
      </c>
      <c r="V110" s="16">
        <f t="shared" si="4"/>
        <v>0</v>
      </c>
      <c r="W110" s="16">
        <f>N110+O110-'додаток сесія_2024_2028_161 (2'!O109</f>
        <v>0</v>
      </c>
    </row>
    <row r="111" spans="1:23" s="17" customFormat="1" ht="48.75" hidden="1" customHeight="1" x14ac:dyDescent="0.2">
      <c r="A111" s="88"/>
      <c r="B111" s="89"/>
      <c r="C111" s="79" t="s">
        <v>127</v>
      </c>
      <c r="D111" s="13" t="s">
        <v>73</v>
      </c>
      <c r="E111" s="531"/>
      <c r="F111" s="55" t="s">
        <v>13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15">
        <v>425000</v>
      </c>
      <c r="M111" s="15">
        <v>510000</v>
      </c>
      <c r="N111" s="15">
        <f t="shared" si="5"/>
        <v>935000</v>
      </c>
      <c r="O111" s="15">
        <f>225000-14520</f>
        <v>210480</v>
      </c>
      <c r="P111" s="15">
        <v>0</v>
      </c>
      <c r="Q111" s="15">
        <v>250000</v>
      </c>
      <c r="R111" s="15">
        <v>264500</v>
      </c>
      <c r="S111" s="15">
        <v>300000</v>
      </c>
      <c r="T111" s="15">
        <v>317400</v>
      </c>
      <c r="U111" s="15">
        <f t="shared" si="8"/>
        <v>2277380</v>
      </c>
      <c r="V111" s="16">
        <f t="shared" si="4"/>
        <v>0</v>
      </c>
      <c r="W111" s="16">
        <f>N111+O111-'додаток сесія_2024_2028_161 (2'!O110</f>
        <v>0</v>
      </c>
    </row>
    <row r="112" spans="1:23" s="17" customFormat="1" ht="46.5" hidden="1" customHeight="1" x14ac:dyDescent="0.2">
      <c r="A112" s="88"/>
      <c r="B112" s="90"/>
      <c r="C112" s="79" t="s">
        <v>128</v>
      </c>
      <c r="D112" s="13" t="s">
        <v>71</v>
      </c>
      <c r="E112" s="531"/>
      <c r="F112" s="55" t="s">
        <v>13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15">
        <v>0</v>
      </c>
      <c r="M112" s="15">
        <v>400</v>
      </c>
      <c r="N112" s="15">
        <f t="shared" si="5"/>
        <v>400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f t="shared" si="8"/>
        <v>400</v>
      </c>
      <c r="V112" s="16">
        <f t="shared" si="4"/>
        <v>0</v>
      </c>
      <c r="W112" s="16">
        <f>N112+O112-'додаток сесія_2024_2028_161 (2'!O111</f>
        <v>0</v>
      </c>
    </row>
    <row r="113" spans="1:23" s="17" customFormat="1" ht="48" hidden="1" customHeight="1" x14ac:dyDescent="0.2">
      <c r="A113" s="88"/>
      <c r="B113" s="89"/>
      <c r="C113" s="79" t="s">
        <v>387</v>
      </c>
      <c r="D113" s="13" t="s">
        <v>71</v>
      </c>
      <c r="E113" s="531"/>
      <c r="F113" s="55" t="s">
        <v>13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15">
        <v>0</v>
      </c>
      <c r="M113" s="15">
        <v>300</v>
      </c>
      <c r="N113" s="15">
        <f t="shared" si="5"/>
        <v>300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f t="shared" si="8"/>
        <v>300</v>
      </c>
      <c r="V113" s="16">
        <f t="shared" si="4"/>
        <v>0</v>
      </c>
      <c r="W113" s="16">
        <f>N113+O113-'додаток сесія_2024_2028_161 (2'!O112</f>
        <v>0</v>
      </c>
    </row>
    <row r="114" spans="1:23" s="17" customFormat="1" ht="47.25" hidden="1" customHeight="1" x14ac:dyDescent="0.2">
      <c r="A114" s="88"/>
      <c r="B114" s="89"/>
      <c r="C114" s="79" t="s">
        <v>390</v>
      </c>
      <c r="D114" s="13" t="s">
        <v>71</v>
      </c>
      <c r="E114" s="531"/>
      <c r="F114" s="55" t="s">
        <v>13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15">
        <v>0</v>
      </c>
      <c r="M114" s="15">
        <v>200</v>
      </c>
      <c r="N114" s="15">
        <f t="shared" si="5"/>
        <v>200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f t="shared" si="8"/>
        <v>200</v>
      </c>
      <c r="V114" s="16">
        <f t="shared" si="4"/>
        <v>0</v>
      </c>
      <c r="W114" s="16">
        <f>N114+O114-'додаток сесія_2024_2028_161 (2'!O113</f>
        <v>0</v>
      </c>
    </row>
    <row r="115" spans="1:23" s="17" customFormat="1" ht="44.25" hidden="1" customHeight="1" x14ac:dyDescent="0.2">
      <c r="A115" s="91"/>
      <c r="B115" s="92"/>
      <c r="C115" s="79" t="s">
        <v>364</v>
      </c>
      <c r="D115" s="93" t="s">
        <v>71</v>
      </c>
      <c r="E115" s="534"/>
      <c r="F115" s="55" t="s">
        <v>13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15">
        <v>0</v>
      </c>
      <c r="M115" s="15">
        <v>120</v>
      </c>
      <c r="N115" s="15">
        <f t="shared" si="5"/>
        <v>120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f t="shared" si="8"/>
        <v>120</v>
      </c>
      <c r="V115" s="16">
        <f t="shared" si="4"/>
        <v>0</v>
      </c>
      <c r="W115" s="16">
        <f>N115+O115-'додаток сесія_2024_2028_161 (2'!O114</f>
        <v>0</v>
      </c>
    </row>
    <row r="116" spans="1:23" s="17" customFormat="1" ht="45.75" hidden="1" customHeight="1" x14ac:dyDescent="0.2">
      <c r="A116" s="91"/>
      <c r="B116" s="92"/>
      <c r="C116" s="79" t="s">
        <v>365</v>
      </c>
      <c r="D116" s="55" t="s">
        <v>71</v>
      </c>
      <c r="E116" s="534"/>
      <c r="F116" s="55" t="s">
        <v>13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15">
        <v>0</v>
      </c>
      <c r="M116" s="15">
        <v>135</v>
      </c>
      <c r="N116" s="15">
        <f t="shared" si="5"/>
        <v>135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f t="shared" si="8"/>
        <v>135</v>
      </c>
      <c r="V116" s="16">
        <f t="shared" si="4"/>
        <v>0</v>
      </c>
      <c r="W116" s="16">
        <f>N116+O116-'додаток сесія_2024_2028_161 (2'!O115</f>
        <v>0</v>
      </c>
    </row>
    <row r="117" spans="1:23" s="17" customFormat="1" ht="48" hidden="1" customHeight="1" x14ac:dyDescent="0.2">
      <c r="A117" s="88"/>
      <c r="B117" s="89"/>
      <c r="C117" s="79" t="s">
        <v>366</v>
      </c>
      <c r="D117" s="13" t="s">
        <v>71</v>
      </c>
      <c r="E117" s="531"/>
      <c r="F117" s="55" t="s">
        <v>13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15">
        <v>0</v>
      </c>
      <c r="M117" s="15">
        <v>150</v>
      </c>
      <c r="N117" s="15">
        <f t="shared" si="5"/>
        <v>150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f t="shared" si="8"/>
        <v>150</v>
      </c>
      <c r="V117" s="16">
        <f t="shared" si="4"/>
        <v>0</v>
      </c>
      <c r="W117" s="16">
        <f>N117+O117-'додаток сесія_2024_2028_161 (2'!O116</f>
        <v>0</v>
      </c>
    </row>
    <row r="118" spans="1:23" s="17" customFormat="1" ht="46.5" hidden="1" customHeight="1" x14ac:dyDescent="0.2">
      <c r="A118" s="94"/>
      <c r="B118" s="92"/>
      <c r="C118" s="83" t="s">
        <v>130</v>
      </c>
      <c r="D118" s="35" t="s">
        <v>71</v>
      </c>
      <c r="E118" s="534"/>
      <c r="F118" s="55" t="s">
        <v>13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15">
        <v>0</v>
      </c>
      <c r="M118" s="15">
        <v>320</v>
      </c>
      <c r="N118" s="15">
        <f t="shared" si="5"/>
        <v>320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f t="shared" si="8"/>
        <v>320</v>
      </c>
      <c r="V118" s="16">
        <f t="shared" si="4"/>
        <v>0</v>
      </c>
      <c r="W118" s="16">
        <f>N118+O118-'додаток сесія_2024_2028_161 (2'!O117</f>
        <v>0</v>
      </c>
    </row>
    <row r="119" spans="1:23" s="17" customFormat="1" ht="56.25" hidden="1" customHeight="1" x14ac:dyDescent="0.2">
      <c r="A119" s="94"/>
      <c r="B119" s="92"/>
      <c r="C119" s="85" t="s">
        <v>131</v>
      </c>
      <c r="D119" s="29" t="s">
        <v>71</v>
      </c>
      <c r="E119" s="534"/>
      <c r="F119" s="55" t="s">
        <v>13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15">
        <v>500</v>
      </c>
      <c r="M119" s="15">
        <v>0</v>
      </c>
      <c r="N119" s="15">
        <f t="shared" si="5"/>
        <v>500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f t="shared" si="8"/>
        <v>500</v>
      </c>
      <c r="V119" s="16">
        <f t="shared" si="4"/>
        <v>0</v>
      </c>
      <c r="W119" s="16">
        <f>N119+O119-'додаток сесія_2024_2028_161 (2'!O118</f>
        <v>0</v>
      </c>
    </row>
    <row r="120" spans="1:23" s="17" customFormat="1" ht="50.25" hidden="1" customHeight="1" x14ac:dyDescent="0.2">
      <c r="A120" s="88"/>
      <c r="B120" s="89"/>
      <c r="C120" s="79" t="s">
        <v>132</v>
      </c>
      <c r="D120" s="13" t="s">
        <v>71</v>
      </c>
      <c r="E120" s="531"/>
      <c r="F120" s="55" t="s">
        <v>13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15">
        <v>0</v>
      </c>
      <c r="M120" s="15">
        <v>500</v>
      </c>
      <c r="N120" s="15">
        <f t="shared" si="5"/>
        <v>500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f t="shared" si="8"/>
        <v>500</v>
      </c>
      <c r="V120" s="16">
        <f t="shared" si="4"/>
        <v>0</v>
      </c>
      <c r="W120" s="16">
        <f>N120+O120-'додаток сесія_2024_2028_161 (2'!O119</f>
        <v>0</v>
      </c>
    </row>
    <row r="121" spans="1:23" s="17" customFormat="1" ht="48" hidden="1" customHeight="1" x14ac:dyDescent="0.2">
      <c r="A121" s="332"/>
      <c r="B121" s="333"/>
      <c r="C121" s="79" t="s">
        <v>133</v>
      </c>
      <c r="D121" s="13" t="s">
        <v>71</v>
      </c>
      <c r="E121" s="476"/>
      <c r="F121" s="55" t="s">
        <v>13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15">
        <v>410</v>
      </c>
      <c r="M121" s="15">
        <v>0</v>
      </c>
      <c r="N121" s="15">
        <f t="shared" si="5"/>
        <v>410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f t="shared" si="8"/>
        <v>410</v>
      </c>
      <c r="V121" s="16">
        <f t="shared" si="4"/>
        <v>0</v>
      </c>
      <c r="W121" s="16">
        <f>N121+O121-'додаток сесія_2024_2028_161 (2'!O120</f>
        <v>0</v>
      </c>
    </row>
    <row r="122" spans="1:23" s="17" customFormat="1" ht="39.75" hidden="1" customHeight="1" x14ac:dyDescent="0.2">
      <c r="A122" s="88"/>
      <c r="B122" s="89"/>
      <c r="C122" s="79" t="s">
        <v>134</v>
      </c>
      <c r="D122" s="13" t="s">
        <v>71</v>
      </c>
      <c r="E122" s="531"/>
      <c r="F122" s="55" t="s">
        <v>13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15">
        <v>0</v>
      </c>
      <c r="M122" s="15">
        <v>0</v>
      </c>
      <c r="N122" s="15">
        <f t="shared" si="5"/>
        <v>0</v>
      </c>
      <c r="O122" s="15">
        <v>15000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f t="shared" si="8"/>
        <v>15000</v>
      </c>
      <c r="V122" s="16">
        <f t="shared" si="4"/>
        <v>0</v>
      </c>
      <c r="W122" s="16">
        <f>N122+O122-'додаток сесія_2024_2028_161 (2'!O121</f>
        <v>0</v>
      </c>
    </row>
    <row r="123" spans="1:23" s="17" customFormat="1" ht="47.25" hidden="1" customHeight="1" x14ac:dyDescent="0.2">
      <c r="A123" s="88"/>
      <c r="B123" s="89"/>
      <c r="C123" s="79" t="s">
        <v>135</v>
      </c>
      <c r="D123" s="13" t="s">
        <v>71</v>
      </c>
      <c r="E123" s="531"/>
      <c r="F123" s="55" t="s">
        <v>13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15">
        <v>0</v>
      </c>
      <c r="M123" s="15">
        <v>0</v>
      </c>
      <c r="N123" s="15">
        <f t="shared" si="5"/>
        <v>0</v>
      </c>
      <c r="O123" s="15">
        <v>3400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f t="shared" si="8"/>
        <v>3400</v>
      </c>
      <c r="V123" s="16">
        <f t="shared" si="4"/>
        <v>0</v>
      </c>
      <c r="W123" s="16">
        <f>N123+O123-'додаток сесія_2024_2028_161 (2'!O122</f>
        <v>0</v>
      </c>
    </row>
    <row r="124" spans="1:23" s="17" customFormat="1" ht="45.75" hidden="1" customHeight="1" x14ac:dyDescent="0.2">
      <c r="A124" s="91"/>
      <c r="B124" s="92"/>
      <c r="C124" s="79" t="s">
        <v>136</v>
      </c>
      <c r="D124" s="13" t="s">
        <v>71</v>
      </c>
      <c r="E124" s="531"/>
      <c r="F124" s="55" t="s">
        <v>13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15">
        <v>0</v>
      </c>
      <c r="M124" s="15">
        <v>0</v>
      </c>
      <c r="N124" s="15">
        <f t="shared" si="5"/>
        <v>0</v>
      </c>
      <c r="O124" s="15">
        <v>1200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f t="shared" si="8"/>
        <v>1200</v>
      </c>
      <c r="V124" s="16">
        <f t="shared" si="4"/>
        <v>0</v>
      </c>
      <c r="W124" s="16">
        <f>N124+O124-'додаток сесія_2024_2028_161 (2'!O123</f>
        <v>0</v>
      </c>
    </row>
    <row r="125" spans="1:23" s="17" customFormat="1" ht="48.75" hidden="1" customHeight="1" x14ac:dyDescent="0.2">
      <c r="A125" s="91"/>
      <c r="B125" s="92"/>
      <c r="C125" s="79" t="s">
        <v>137</v>
      </c>
      <c r="D125" s="13" t="s">
        <v>71</v>
      </c>
      <c r="E125" s="531"/>
      <c r="F125" s="55" t="s">
        <v>13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15">
        <v>0</v>
      </c>
      <c r="M125" s="15">
        <v>1000</v>
      </c>
      <c r="N125" s="15">
        <f t="shared" si="5"/>
        <v>1000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f t="shared" si="8"/>
        <v>1000</v>
      </c>
      <c r="V125" s="16">
        <f t="shared" si="4"/>
        <v>0</v>
      </c>
      <c r="W125" s="16">
        <f>N125+O125-'додаток сесія_2024_2028_161 (2'!O124</f>
        <v>0</v>
      </c>
    </row>
    <row r="126" spans="1:23" s="17" customFormat="1" ht="44.25" hidden="1" customHeight="1" x14ac:dyDescent="0.2">
      <c r="A126" s="91"/>
      <c r="B126" s="92"/>
      <c r="C126" s="79" t="s">
        <v>138</v>
      </c>
      <c r="D126" s="13" t="s">
        <v>71</v>
      </c>
      <c r="E126" s="531"/>
      <c r="F126" s="55" t="s">
        <v>13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15">
        <v>0</v>
      </c>
      <c r="M126" s="15">
        <v>0</v>
      </c>
      <c r="N126" s="15">
        <f t="shared" si="5"/>
        <v>0</v>
      </c>
      <c r="O126" s="15">
        <v>300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f t="shared" si="8"/>
        <v>300</v>
      </c>
      <c r="V126" s="16">
        <f t="shared" si="4"/>
        <v>0</v>
      </c>
      <c r="W126" s="16">
        <f>N126+O126-'додаток сесія_2024_2028_161 (2'!O125</f>
        <v>0</v>
      </c>
    </row>
    <row r="127" spans="1:23" s="17" customFormat="1" ht="48.75" hidden="1" customHeight="1" x14ac:dyDescent="0.2">
      <c r="A127" s="88"/>
      <c r="B127" s="89"/>
      <c r="C127" s="79" t="s">
        <v>139</v>
      </c>
      <c r="D127" s="13" t="s">
        <v>71</v>
      </c>
      <c r="E127" s="531"/>
      <c r="F127" s="55" t="s">
        <v>13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15">
        <v>0</v>
      </c>
      <c r="M127" s="15">
        <v>0</v>
      </c>
      <c r="N127" s="15">
        <f t="shared" si="5"/>
        <v>0</v>
      </c>
      <c r="O127" s="15">
        <v>350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f t="shared" si="8"/>
        <v>350</v>
      </c>
      <c r="V127" s="16">
        <f t="shared" si="4"/>
        <v>0</v>
      </c>
      <c r="W127" s="16">
        <f>N127+O127-'додаток сесія_2024_2028_161 (2'!O126</f>
        <v>0</v>
      </c>
    </row>
    <row r="128" spans="1:23" s="17" customFormat="1" ht="43.5" hidden="1" customHeight="1" x14ac:dyDescent="0.2">
      <c r="A128" s="91"/>
      <c r="B128" s="92"/>
      <c r="C128" s="79" t="s">
        <v>140</v>
      </c>
      <c r="D128" s="35" t="s">
        <v>71</v>
      </c>
      <c r="E128" s="534"/>
      <c r="F128" s="55" t="s">
        <v>13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15">
        <v>0</v>
      </c>
      <c r="M128" s="15">
        <v>0</v>
      </c>
      <c r="N128" s="15">
        <f t="shared" si="5"/>
        <v>0</v>
      </c>
      <c r="O128" s="15">
        <v>400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f t="shared" si="8"/>
        <v>400</v>
      </c>
      <c r="V128" s="16">
        <f t="shared" si="4"/>
        <v>0</v>
      </c>
      <c r="W128" s="16">
        <f>N128+O128-'додаток сесія_2024_2028_161 (2'!O127</f>
        <v>0</v>
      </c>
    </row>
    <row r="129" spans="1:23" s="17" customFormat="1" ht="45.75" hidden="1" customHeight="1" x14ac:dyDescent="0.2">
      <c r="A129" s="88"/>
      <c r="B129" s="89"/>
      <c r="C129" s="79" t="s">
        <v>141</v>
      </c>
      <c r="D129" s="13" t="s">
        <v>71</v>
      </c>
      <c r="E129" s="531"/>
      <c r="F129" s="55" t="s">
        <v>13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15">
        <v>0</v>
      </c>
      <c r="M129" s="15">
        <f>5000-5000</f>
        <v>0</v>
      </c>
      <c r="N129" s="15">
        <f t="shared" si="5"/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f t="shared" si="8"/>
        <v>0</v>
      </c>
      <c r="V129" s="16">
        <f t="shared" si="4"/>
        <v>0</v>
      </c>
      <c r="W129" s="16">
        <f>N129+O129-'додаток сесія_2024_2028_161 (2'!O128</f>
        <v>0</v>
      </c>
    </row>
    <row r="130" spans="1:23" s="17" customFormat="1" ht="39.75" hidden="1" customHeight="1" x14ac:dyDescent="0.2">
      <c r="A130" s="88"/>
      <c r="B130" s="90"/>
      <c r="C130" s="79" t="s">
        <v>142</v>
      </c>
      <c r="D130" s="13" t="s">
        <v>71</v>
      </c>
      <c r="E130" s="531"/>
      <c r="F130" s="55" t="s">
        <v>13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15">
        <v>0</v>
      </c>
      <c r="M130" s="15">
        <v>0</v>
      </c>
      <c r="N130" s="15">
        <f t="shared" si="5"/>
        <v>0</v>
      </c>
      <c r="O130" s="15">
        <v>12000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f t="shared" si="8"/>
        <v>12000</v>
      </c>
      <c r="V130" s="16">
        <f t="shared" si="4"/>
        <v>0</v>
      </c>
      <c r="W130" s="16">
        <f>N130+O130-'додаток сесія_2024_2028_161 (2'!O129</f>
        <v>0</v>
      </c>
    </row>
    <row r="131" spans="1:23" s="17" customFormat="1" ht="50.25" hidden="1" customHeight="1" x14ac:dyDescent="0.2">
      <c r="A131" s="88"/>
      <c r="B131" s="89"/>
      <c r="C131" s="79" t="s">
        <v>143</v>
      </c>
      <c r="D131" s="13" t="s">
        <v>71</v>
      </c>
      <c r="E131" s="531"/>
      <c r="F131" s="55" t="s">
        <v>13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15">
        <v>0</v>
      </c>
      <c r="M131" s="15">
        <f>18000-488.9+99.5</f>
        <v>17610.599999999999</v>
      </c>
      <c r="N131" s="15">
        <f t="shared" si="5"/>
        <v>17610.599999999999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f t="shared" si="8"/>
        <v>17610.599999999999</v>
      </c>
      <c r="V131" s="16">
        <f t="shared" si="4"/>
        <v>0</v>
      </c>
      <c r="W131" s="16">
        <f>N131+O131-'додаток сесія_2024_2028_161 (2'!O130</f>
        <v>0</v>
      </c>
    </row>
    <row r="132" spans="1:23" s="17" customFormat="1" ht="48" hidden="1" customHeight="1" x14ac:dyDescent="0.2">
      <c r="A132" s="88"/>
      <c r="B132" s="89"/>
      <c r="C132" s="79" t="s">
        <v>144</v>
      </c>
      <c r="D132" s="13" t="s">
        <v>71</v>
      </c>
      <c r="E132" s="531"/>
      <c r="F132" s="55" t="s">
        <v>13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15">
        <v>0</v>
      </c>
      <c r="M132" s="15">
        <v>0</v>
      </c>
      <c r="N132" s="15">
        <f t="shared" si="5"/>
        <v>0</v>
      </c>
      <c r="O132" s="15">
        <v>18000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f t="shared" si="8"/>
        <v>18000</v>
      </c>
      <c r="V132" s="16">
        <f t="shared" si="4"/>
        <v>0</v>
      </c>
      <c r="W132" s="16">
        <f>N132+O132-'додаток сесія_2024_2028_161 (2'!O131</f>
        <v>0</v>
      </c>
    </row>
    <row r="133" spans="1:23" s="17" customFormat="1" ht="45.75" hidden="1" customHeight="1" x14ac:dyDescent="0.2">
      <c r="A133" s="88"/>
      <c r="B133" s="89"/>
      <c r="C133" s="79" t="s">
        <v>367</v>
      </c>
      <c r="D133" s="13" t="s">
        <v>71</v>
      </c>
      <c r="E133" s="531"/>
      <c r="F133" s="55" t="s">
        <v>13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15">
        <v>0</v>
      </c>
      <c r="M133" s="15">
        <v>120</v>
      </c>
      <c r="N133" s="15">
        <f t="shared" si="5"/>
        <v>120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f t="shared" si="8"/>
        <v>120</v>
      </c>
      <c r="V133" s="16">
        <f t="shared" si="4"/>
        <v>0</v>
      </c>
      <c r="W133" s="16">
        <f>N133+O133-'додаток сесія_2024_2028_161 (2'!O132</f>
        <v>0</v>
      </c>
    </row>
    <row r="134" spans="1:23" s="17" customFormat="1" ht="51" hidden="1" customHeight="1" x14ac:dyDescent="0.2">
      <c r="A134" s="91"/>
      <c r="B134" s="92"/>
      <c r="C134" s="79" t="s">
        <v>325</v>
      </c>
      <c r="D134" s="93" t="s">
        <v>71</v>
      </c>
      <c r="E134" s="534"/>
      <c r="F134" s="55" t="s">
        <v>13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15">
        <v>0</v>
      </c>
      <c r="M134" s="15">
        <v>135</v>
      </c>
      <c r="N134" s="15">
        <f t="shared" si="5"/>
        <v>135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f t="shared" si="8"/>
        <v>135</v>
      </c>
      <c r="V134" s="16">
        <f t="shared" si="4"/>
        <v>0</v>
      </c>
      <c r="W134" s="16">
        <f>N134+O134-'додаток сесія_2024_2028_161 (2'!O133</f>
        <v>0</v>
      </c>
    </row>
    <row r="135" spans="1:23" s="17" customFormat="1" ht="45.75" hidden="1" customHeight="1" x14ac:dyDescent="0.2">
      <c r="A135" s="91"/>
      <c r="B135" s="92"/>
      <c r="C135" s="79" t="s">
        <v>145</v>
      </c>
      <c r="D135" s="93" t="s">
        <v>71</v>
      </c>
      <c r="E135" s="534"/>
      <c r="F135" s="55" t="s">
        <v>13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15">
        <v>0</v>
      </c>
      <c r="M135" s="15">
        <v>0</v>
      </c>
      <c r="N135" s="15">
        <f t="shared" si="5"/>
        <v>0</v>
      </c>
      <c r="O135" s="15">
        <v>300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f t="shared" si="8"/>
        <v>300</v>
      </c>
      <c r="V135" s="16">
        <f t="shared" si="4"/>
        <v>0</v>
      </c>
      <c r="W135" s="16">
        <f>N135+O135-'додаток сесія_2024_2028_161 (2'!O134</f>
        <v>0</v>
      </c>
    </row>
    <row r="136" spans="1:23" s="17" customFormat="1" ht="48.75" hidden="1" customHeight="1" x14ac:dyDescent="0.2">
      <c r="A136" s="88"/>
      <c r="B136" s="89"/>
      <c r="C136" s="79" t="s">
        <v>368</v>
      </c>
      <c r="D136" s="13" t="s">
        <v>71</v>
      </c>
      <c r="E136" s="531"/>
      <c r="F136" s="55" t="s">
        <v>13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15">
        <v>0</v>
      </c>
      <c r="M136" s="15">
        <v>0</v>
      </c>
      <c r="N136" s="15">
        <f t="shared" si="5"/>
        <v>0</v>
      </c>
      <c r="O136" s="15">
        <v>350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f t="shared" si="8"/>
        <v>350</v>
      </c>
      <c r="V136" s="16">
        <f t="shared" si="4"/>
        <v>0</v>
      </c>
      <c r="W136" s="16">
        <f>N136+O136-'додаток сесія_2024_2028_161 (2'!O135</f>
        <v>0</v>
      </c>
    </row>
    <row r="137" spans="1:23" s="17" customFormat="1" ht="43.5" hidden="1" customHeight="1" x14ac:dyDescent="0.2">
      <c r="A137" s="91"/>
      <c r="B137" s="92"/>
      <c r="C137" s="83" t="s">
        <v>369</v>
      </c>
      <c r="D137" s="35" t="s">
        <v>71</v>
      </c>
      <c r="E137" s="534"/>
      <c r="F137" s="55" t="s">
        <v>13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15">
        <f>700-700</f>
        <v>0</v>
      </c>
      <c r="M137" s="15">
        <f>880</f>
        <v>880</v>
      </c>
      <c r="N137" s="15">
        <f t="shared" si="5"/>
        <v>880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f t="shared" si="8"/>
        <v>880</v>
      </c>
      <c r="V137" s="16">
        <f t="shared" si="4"/>
        <v>0</v>
      </c>
      <c r="W137" s="16">
        <f>N137+O137-'додаток сесія_2024_2028_161 (2'!O136</f>
        <v>0</v>
      </c>
    </row>
    <row r="138" spans="1:23" s="17" customFormat="1" ht="53.25" hidden="1" customHeight="1" x14ac:dyDescent="0.2">
      <c r="A138" s="91"/>
      <c r="B138" s="92"/>
      <c r="C138" s="85" t="s">
        <v>370</v>
      </c>
      <c r="D138" s="29" t="s">
        <v>71</v>
      </c>
      <c r="E138" s="534"/>
      <c r="F138" s="55" t="s">
        <v>13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15">
        <v>0</v>
      </c>
      <c r="M138" s="15">
        <v>1750</v>
      </c>
      <c r="N138" s="15">
        <f t="shared" si="5"/>
        <v>1750</v>
      </c>
      <c r="O138" s="15">
        <v>2200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f t="shared" si="8"/>
        <v>3950</v>
      </c>
      <c r="V138" s="16">
        <f t="shared" si="4"/>
        <v>0</v>
      </c>
      <c r="W138" s="16">
        <f>N138+O138-'додаток сесія_2024_2028_161 (2'!O137</f>
        <v>0</v>
      </c>
    </row>
    <row r="139" spans="1:23" s="17" customFormat="1" ht="48.75" hidden="1" customHeight="1" x14ac:dyDescent="0.2">
      <c r="A139" s="88"/>
      <c r="B139" s="89"/>
      <c r="C139" s="79" t="s">
        <v>146</v>
      </c>
      <c r="D139" s="13" t="s">
        <v>71</v>
      </c>
      <c r="E139" s="531"/>
      <c r="F139" s="55" t="s">
        <v>13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15">
        <v>500</v>
      </c>
      <c r="M139" s="15">
        <v>0</v>
      </c>
      <c r="N139" s="15">
        <f t="shared" si="5"/>
        <v>500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f t="shared" si="8"/>
        <v>500</v>
      </c>
      <c r="V139" s="16">
        <f t="shared" si="4"/>
        <v>0</v>
      </c>
      <c r="W139" s="16">
        <f>N139+O139-'додаток сесія_2024_2028_161 (2'!O138</f>
        <v>0</v>
      </c>
    </row>
    <row r="140" spans="1:23" s="17" customFormat="1" ht="45.75" hidden="1" customHeight="1" x14ac:dyDescent="0.2">
      <c r="A140" s="332"/>
      <c r="B140" s="333"/>
      <c r="C140" s="79" t="s">
        <v>147</v>
      </c>
      <c r="D140" s="13" t="s">
        <v>71</v>
      </c>
      <c r="E140" s="476"/>
      <c r="F140" s="55" t="s">
        <v>13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15">
        <v>0</v>
      </c>
      <c r="M140" s="15">
        <f>2000</f>
        <v>2000</v>
      </c>
      <c r="N140" s="15">
        <f t="shared" si="5"/>
        <v>2000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f t="shared" si="8"/>
        <v>2000</v>
      </c>
      <c r="V140" s="16">
        <f t="shared" si="4"/>
        <v>0</v>
      </c>
      <c r="W140" s="16">
        <f>N140+O140-'додаток сесія_2024_2028_161 (2'!O139</f>
        <v>0</v>
      </c>
    </row>
    <row r="141" spans="1:23" s="17" customFormat="1" ht="49.5" hidden="1" customHeight="1" x14ac:dyDescent="0.2">
      <c r="A141" s="88"/>
      <c r="B141" s="89"/>
      <c r="C141" s="79" t="s">
        <v>148</v>
      </c>
      <c r="D141" s="13" t="s">
        <v>73</v>
      </c>
      <c r="E141" s="531"/>
      <c r="F141" s="55" t="s">
        <v>13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15">
        <v>20000</v>
      </c>
      <c r="M141" s="15">
        <f>22000+28000</f>
        <v>50000</v>
      </c>
      <c r="N141" s="15">
        <f t="shared" si="5"/>
        <v>70000</v>
      </c>
      <c r="O141" s="15">
        <f>24200+265.6</f>
        <v>24465.599999999999</v>
      </c>
      <c r="P141" s="15">
        <v>33993</v>
      </c>
      <c r="Q141" s="15">
        <v>36372.51</v>
      </c>
      <c r="R141" s="15">
        <v>38482.115580000005</v>
      </c>
      <c r="S141" s="15">
        <v>40714.07828364001</v>
      </c>
      <c r="T141" s="15">
        <v>43075.494824091133</v>
      </c>
      <c r="U141" s="15">
        <f t="shared" si="8"/>
        <v>287102.79868773121</v>
      </c>
      <c r="V141" s="16">
        <f t="shared" ref="V141:V204" si="9">G141+H141+I141+J141+K141+L141+M141+O141+P141+Q141+R141+S141+T141-U141</f>
        <v>0</v>
      </c>
      <c r="W141" s="16">
        <f>N141+O141-'додаток сесія_2024_2028_161 (2'!O140</f>
        <v>0</v>
      </c>
    </row>
    <row r="142" spans="1:23" s="17" customFormat="1" ht="42.75" hidden="1" customHeight="1" x14ac:dyDescent="0.2">
      <c r="A142" s="88"/>
      <c r="B142" s="89"/>
      <c r="C142" s="79" t="s">
        <v>149</v>
      </c>
      <c r="D142" s="13" t="s">
        <v>71</v>
      </c>
      <c r="E142" s="531"/>
      <c r="F142" s="55" t="s">
        <v>13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15">
        <f>4000+349.7-4349.7</f>
        <v>0</v>
      </c>
      <c r="M142" s="15">
        <f>0+4349.7</f>
        <v>4349.7</v>
      </c>
      <c r="N142" s="15">
        <f t="shared" ref="N142:N205" si="10">G142+H142+I142+J142+K142+L142+M142</f>
        <v>4349.7</v>
      </c>
      <c r="O142" s="15">
        <f>2100-2100</f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f t="shared" si="8"/>
        <v>4349.7</v>
      </c>
      <c r="V142" s="16">
        <f t="shared" si="9"/>
        <v>0</v>
      </c>
      <c r="W142" s="16">
        <f>N142+O142-'додаток сесія_2024_2028_161 (2'!O141</f>
        <v>0</v>
      </c>
    </row>
    <row r="143" spans="1:23" s="17" customFormat="1" ht="43.5" hidden="1" customHeight="1" x14ac:dyDescent="0.2">
      <c r="A143" s="88"/>
      <c r="B143" s="89"/>
      <c r="C143" s="79" t="s">
        <v>150</v>
      </c>
      <c r="D143" s="13" t="s">
        <v>71</v>
      </c>
      <c r="E143" s="531"/>
      <c r="F143" s="55" t="s">
        <v>13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15">
        <v>4500</v>
      </c>
      <c r="M143" s="15">
        <f>5000-5000</f>
        <v>0</v>
      </c>
      <c r="N143" s="15">
        <f t="shared" si="10"/>
        <v>4500</v>
      </c>
      <c r="O143" s="15">
        <v>5500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f t="shared" si="8"/>
        <v>10000</v>
      </c>
      <c r="V143" s="16">
        <f t="shared" si="9"/>
        <v>0</v>
      </c>
      <c r="W143" s="16">
        <f>N143+O143-'додаток сесія_2024_2028_161 (2'!O142</f>
        <v>0</v>
      </c>
    </row>
    <row r="144" spans="1:23" s="17" customFormat="1" ht="45" hidden="1" customHeight="1" x14ac:dyDescent="0.2">
      <c r="A144" s="88"/>
      <c r="B144" s="89"/>
      <c r="C144" s="79" t="s">
        <v>151</v>
      </c>
      <c r="D144" s="13" t="s">
        <v>71</v>
      </c>
      <c r="E144" s="531"/>
      <c r="F144" s="55" t="s">
        <v>13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15">
        <f>4000-349.7</f>
        <v>3650.3</v>
      </c>
      <c r="M144" s="15">
        <v>0</v>
      </c>
      <c r="N144" s="15">
        <f t="shared" si="10"/>
        <v>3650.3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f t="shared" si="8"/>
        <v>3650.3</v>
      </c>
      <c r="V144" s="16">
        <f t="shared" si="9"/>
        <v>0</v>
      </c>
      <c r="W144" s="16">
        <f>N144+O144-'додаток сесія_2024_2028_161 (2'!O143</f>
        <v>0</v>
      </c>
    </row>
    <row r="145" spans="1:23" s="17" customFormat="1" ht="43.5" hidden="1" customHeight="1" x14ac:dyDescent="0.2">
      <c r="A145" s="88"/>
      <c r="B145" s="89"/>
      <c r="C145" s="79" t="s">
        <v>152</v>
      </c>
      <c r="D145" s="13" t="s">
        <v>73</v>
      </c>
      <c r="E145" s="531"/>
      <c r="F145" s="55" t="s">
        <v>13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15">
        <v>0</v>
      </c>
      <c r="M145" s="15">
        <f>2500</f>
        <v>2500</v>
      </c>
      <c r="N145" s="15">
        <f t="shared" si="10"/>
        <v>2500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7800</v>
      </c>
      <c r="U145" s="15">
        <f t="shared" si="8"/>
        <v>10300</v>
      </c>
      <c r="V145" s="16">
        <f t="shared" si="9"/>
        <v>0</v>
      </c>
      <c r="W145" s="16">
        <f>N145+O145-'додаток сесія_2024_2028_161 (2'!O144</f>
        <v>0</v>
      </c>
    </row>
    <row r="146" spans="1:23" s="17" customFormat="1" ht="50.25" hidden="1" customHeight="1" x14ac:dyDescent="0.2">
      <c r="A146" s="88"/>
      <c r="B146" s="89"/>
      <c r="C146" s="79" t="s">
        <v>153</v>
      </c>
      <c r="D146" s="13" t="s">
        <v>73</v>
      </c>
      <c r="E146" s="531"/>
      <c r="F146" s="55" t="s">
        <v>13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15">
        <v>2500</v>
      </c>
      <c r="M146" s="15">
        <v>2750</v>
      </c>
      <c r="N146" s="15">
        <f t="shared" si="10"/>
        <v>5250</v>
      </c>
      <c r="O146" s="15">
        <f>2900+2100-500</f>
        <v>4500</v>
      </c>
      <c r="P146" s="15">
        <v>6500</v>
      </c>
      <c r="Q146" s="15">
        <v>0</v>
      </c>
      <c r="R146" s="15">
        <v>7100</v>
      </c>
      <c r="S146" s="15">
        <v>0</v>
      </c>
      <c r="T146" s="15">
        <v>0</v>
      </c>
      <c r="U146" s="15">
        <f t="shared" ref="U146:U209" si="11">SUM(G146:T146)-N146</f>
        <v>23350</v>
      </c>
      <c r="V146" s="16">
        <f t="shared" si="9"/>
        <v>0</v>
      </c>
      <c r="W146" s="16">
        <f>N146+O146-'додаток сесія_2024_2028_161 (2'!O145</f>
        <v>0</v>
      </c>
    </row>
    <row r="147" spans="1:23" s="17" customFormat="1" ht="48" hidden="1" customHeight="1" x14ac:dyDescent="0.2">
      <c r="A147" s="94"/>
      <c r="B147" s="92"/>
      <c r="C147" s="79" t="s">
        <v>154</v>
      </c>
      <c r="D147" s="35" t="s">
        <v>71</v>
      </c>
      <c r="E147" s="534"/>
      <c r="F147" s="55" t="s">
        <v>13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15">
        <v>900</v>
      </c>
      <c r="M147" s="15">
        <v>0</v>
      </c>
      <c r="N147" s="15">
        <f t="shared" si="10"/>
        <v>900</v>
      </c>
      <c r="O147" s="15">
        <v>1100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f t="shared" si="11"/>
        <v>2000</v>
      </c>
      <c r="V147" s="16">
        <f t="shared" si="9"/>
        <v>0</v>
      </c>
      <c r="W147" s="16">
        <f>N147+O147-'додаток сесія_2024_2028_161 (2'!O146</f>
        <v>0</v>
      </c>
    </row>
    <row r="148" spans="1:23" s="17" customFormat="1" ht="45" hidden="1" customHeight="1" x14ac:dyDescent="0.2">
      <c r="A148" s="94"/>
      <c r="B148" s="92"/>
      <c r="C148" s="79" t="s">
        <v>155</v>
      </c>
      <c r="D148" s="14" t="s">
        <v>71</v>
      </c>
      <c r="E148" s="534"/>
      <c r="F148" s="55" t="s">
        <v>13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15">
        <v>300</v>
      </c>
      <c r="M148" s="15">
        <f>330-330</f>
        <v>0</v>
      </c>
      <c r="N148" s="15">
        <f t="shared" si="10"/>
        <v>300</v>
      </c>
      <c r="O148" s="15">
        <f>370-265.6</f>
        <v>104.39999999999998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f t="shared" si="11"/>
        <v>404.4</v>
      </c>
      <c r="V148" s="16">
        <f t="shared" si="9"/>
        <v>0</v>
      </c>
      <c r="W148" s="16">
        <f>N148+O148-'додаток сесія_2024_2028_161 (2'!O147</f>
        <v>0</v>
      </c>
    </row>
    <row r="149" spans="1:23" s="17" customFormat="1" ht="39.75" hidden="1" customHeight="1" x14ac:dyDescent="0.2">
      <c r="A149" s="88"/>
      <c r="B149" s="89"/>
      <c r="C149" s="79" t="s">
        <v>156</v>
      </c>
      <c r="D149" s="13" t="s">
        <v>73</v>
      </c>
      <c r="E149" s="531"/>
      <c r="F149" s="55" t="s">
        <v>13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15">
        <v>0</v>
      </c>
      <c r="M149" s="15">
        <v>0</v>
      </c>
      <c r="N149" s="15">
        <f t="shared" si="10"/>
        <v>0</v>
      </c>
      <c r="O149" s="15">
        <v>4000</v>
      </c>
      <c r="P149" s="15">
        <v>0</v>
      </c>
      <c r="Q149" s="15">
        <v>0</v>
      </c>
      <c r="R149" s="15">
        <v>0</v>
      </c>
      <c r="S149" s="15">
        <v>6157</v>
      </c>
      <c r="T149" s="15">
        <v>0</v>
      </c>
      <c r="U149" s="15">
        <f t="shared" si="11"/>
        <v>10157</v>
      </c>
      <c r="V149" s="16">
        <f t="shared" si="9"/>
        <v>0</v>
      </c>
      <c r="W149" s="16">
        <f>N149+O149-'додаток сесія_2024_2028_161 (2'!O148</f>
        <v>0</v>
      </c>
    </row>
    <row r="150" spans="1:23" s="17" customFormat="1" ht="57.75" hidden="1" customHeight="1" x14ac:dyDescent="0.2">
      <c r="A150" s="88"/>
      <c r="B150" s="89"/>
      <c r="C150" s="79" t="s">
        <v>157</v>
      </c>
      <c r="D150" s="13" t="s">
        <v>73</v>
      </c>
      <c r="E150" s="531"/>
      <c r="F150" s="55" t="s">
        <v>13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15">
        <v>0</v>
      </c>
      <c r="M150" s="15">
        <f>7000-2000</f>
        <v>5000</v>
      </c>
      <c r="N150" s="15">
        <f t="shared" si="10"/>
        <v>5000</v>
      </c>
      <c r="O150" s="15">
        <v>7700</v>
      </c>
      <c r="P150" s="15">
        <v>0</v>
      </c>
      <c r="Q150" s="15">
        <v>0</v>
      </c>
      <c r="R150" s="15">
        <v>0</v>
      </c>
      <c r="S150" s="15">
        <v>9500</v>
      </c>
      <c r="T150" s="15">
        <v>0</v>
      </c>
      <c r="U150" s="15">
        <f t="shared" si="11"/>
        <v>22200</v>
      </c>
      <c r="V150" s="16">
        <f t="shared" si="9"/>
        <v>0</v>
      </c>
      <c r="W150" s="16">
        <f>N150+O150-'додаток сесія_2024_2028_161 (2'!O149</f>
        <v>0</v>
      </c>
    </row>
    <row r="151" spans="1:23" s="17" customFormat="1" ht="41.25" hidden="1" customHeight="1" x14ac:dyDescent="0.2">
      <c r="A151" s="88"/>
      <c r="B151" s="89"/>
      <c r="C151" s="79" t="s">
        <v>158</v>
      </c>
      <c r="D151" s="13" t="s">
        <v>71</v>
      </c>
      <c r="E151" s="531"/>
      <c r="F151" s="55" t="s">
        <v>13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15">
        <f>5000-2397</f>
        <v>2603</v>
      </c>
      <c r="M151" s="15">
        <f>5500</f>
        <v>5500</v>
      </c>
      <c r="N151" s="15">
        <f t="shared" si="10"/>
        <v>8103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f t="shared" si="11"/>
        <v>8103</v>
      </c>
      <c r="V151" s="16">
        <f t="shared" si="9"/>
        <v>0</v>
      </c>
      <c r="W151" s="16">
        <f>N151+O151-'додаток сесія_2024_2028_161 (2'!O150</f>
        <v>0</v>
      </c>
    </row>
    <row r="152" spans="1:23" s="17" customFormat="1" ht="54" hidden="1" customHeight="1" x14ac:dyDescent="0.2">
      <c r="A152" s="88"/>
      <c r="B152" s="89"/>
      <c r="C152" s="79" t="s">
        <v>159</v>
      </c>
      <c r="D152" s="13" t="s">
        <v>73</v>
      </c>
      <c r="E152" s="531"/>
      <c r="F152" s="55" t="s">
        <v>13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15">
        <v>65000</v>
      </c>
      <c r="M152" s="15">
        <v>0</v>
      </c>
      <c r="N152" s="15">
        <f t="shared" si="10"/>
        <v>65000</v>
      </c>
      <c r="O152" s="15">
        <v>0</v>
      </c>
      <c r="P152" s="15">
        <v>0</v>
      </c>
      <c r="Q152" s="15">
        <v>212000</v>
      </c>
      <c r="R152" s="15">
        <v>0</v>
      </c>
      <c r="S152" s="15">
        <v>0</v>
      </c>
      <c r="T152" s="15">
        <v>0</v>
      </c>
      <c r="U152" s="15">
        <f t="shared" si="11"/>
        <v>277000</v>
      </c>
      <c r="V152" s="16">
        <f t="shared" si="9"/>
        <v>0</v>
      </c>
      <c r="W152" s="16">
        <f>N152+O152-'додаток сесія_2024_2028_161 (2'!O151</f>
        <v>0</v>
      </c>
    </row>
    <row r="153" spans="1:23" s="17" customFormat="1" ht="46.5" hidden="1" customHeight="1" x14ac:dyDescent="0.2">
      <c r="A153" s="88"/>
      <c r="B153" s="89"/>
      <c r="C153" s="79" t="s">
        <v>371</v>
      </c>
      <c r="D153" s="13" t="s">
        <v>73</v>
      </c>
      <c r="E153" s="531"/>
      <c r="F153" s="55" t="s">
        <v>13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15">
        <v>0</v>
      </c>
      <c r="M153" s="15">
        <f>7700-7700</f>
        <v>0</v>
      </c>
      <c r="N153" s="15">
        <f t="shared" si="10"/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16300</v>
      </c>
      <c r="U153" s="15">
        <f t="shared" si="11"/>
        <v>16300</v>
      </c>
      <c r="V153" s="16">
        <f t="shared" si="9"/>
        <v>0</v>
      </c>
      <c r="W153" s="16">
        <f>N153+O153-'додаток сесія_2024_2028_161 (2'!O152</f>
        <v>0</v>
      </c>
    </row>
    <row r="154" spans="1:23" s="17" customFormat="1" ht="44.25" hidden="1" customHeight="1" x14ac:dyDescent="0.2">
      <c r="A154" s="88"/>
      <c r="B154" s="90"/>
      <c r="C154" s="83" t="s">
        <v>160</v>
      </c>
      <c r="D154" s="23" t="s">
        <v>73</v>
      </c>
      <c r="E154" s="531"/>
      <c r="F154" s="55" t="s">
        <v>13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15">
        <v>0</v>
      </c>
      <c r="M154" s="15">
        <v>0</v>
      </c>
      <c r="N154" s="15">
        <f t="shared" si="10"/>
        <v>0</v>
      </c>
      <c r="O154" s="15">
        <v>8500</v>
      </c>
      <c r="P154" s="15">
        <v>0</v>
      </c>
      <c r="Q154" s="15">
        <v>0</v>
      </c>
      <c r="R154" s="15">
        <v>0</v>
      </c>
      <c r="S154" s="15">
        <v>3860</v>
      </c>
      <c r="T154" s="15">
        <v>0</v>
      </c>
      <c r="U154" s="15">
        <f t="shared" si="11"/>
        <v>12360</v>
      </c>
      <c r="V154" s="16">
        <f t="shared" si="9"/>
        <v>0</v>
      </c>
      <c r="W154" s="16">
        <f>N154+O154-'додаток сесія_2024_2028_161 (2'!O153</f>
        <v>0</v>
      </c>
    </row>
    <row r="155" spans="1:23" s="17" customFormat="1" ht="69" hidden="1" customHeight="1" x14ac:dyDescent="0.2">
      <c r="A155" s="88"/>
      <c r="B155" s="89"/>
      <c r="C155" s="85" t="s">
        <v>391</v>
      </c>
      <c r="D155" s="28" t="s">
        <v>71</v>
      </c>
      <c r="E155" s="531"/>
      <c r="F155" s="55" t="s">
        <v>13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15">
        <v>78600</v>
      </c>
      <c r="M155" s="15">
        <v>78400</v>
      </c>
      <c r="N155" s="15">
        <f t="shared" si="10"/>
        <v>157000</v>
      </c>
      <c r="O155" s="15">
        <v>78500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f t="shared" si="11"/>
        <v>235500</v>
      </c>
      <c r="V155" s="16">
        <f t="shared" si="9"/>
        <v>0</v>
      </c>
      <c r="W155" s="16">
        <f>N155+O155-'додаток сесія_2024_2028_161 (2'!O154</f>
        <v>0</v>
      </c>
    </row>
    <row r="156" spans="1:23" s="17" customFormat="1" ht="46.5" hidden="1" customHeight="1" x14ac:dyDescent="0.2">
      <c r="A156" s="91"/>
      <c r="B156" s="92"/>
      <c r="C156" s="79" t="s">
        <v>161</v>
      </c>
      <c r="D156" s="13" t="s">
        <v>71</v>
      </c>
      <c r="E156" s="531"/>
      <c r="F156" s="55" t="s">
        <v>13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15">
        <v>46839</v>
      </c>
      <c r="M156" s="15">
        <v>52023</v>
      </c>
      <c r="N156" s="15">
        <f t="shared" si="10"/>
        <v>98862</v>
      </c>
      <c r="O156" s="15">
        <v>100985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f t="shared" si="11"/>
        <v>199847</v>
      </c>
      <c r="V156" s="16">
        <f t="shared" si="9"/>
        <v>0</v>
      </c>
      <c r="W156" s="16">
        <f>N156+O156-'додаток сесія_2024_2028_161 (2'!O155</f>
        <v>0</v>
      </c>
    </row>
    <row r="157" spans="1:23" s="17" customFormat="1" ht="51.75" hidden="1" customHeight="1" x14ac:dyDescent="0.2">
      <c r="A157" s="91"/>
      <c r="B157" s="92"/>
      <c r="C157" s="79" t="s">
        <v>162</v>
      </c>
      <c r="D157" s="14" t="s">
        <v>73</v>
      </c>
      <c r="E157" s="534"/>
      <c r="F157" s="55" t="s">
        <v>13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15">
        <v>487872.01</v>
      </c>
      <c r="M157" s="15">
        <f>565781.7-700</f>
        <v>565081.69999999995</v>
      </c>
      <c r="N157" s="15">
        <f t="shared" si="10"/>
        <v>1052953.71</v>
      </c>
      <c r="O157" s="15">
        <v>606173.69999999995</v>
      </c>
      <c r="P157" s="15">
        <v>715064.5</v>
      </c>
      <c r="Q157" s="15">
        <v>777154.5</v>
      </c>
      <c r="R157" s="15">
        <v>837218.4</v>
      </c>
      <c r="S157" s="15">
        <v>902652.4</v>
      </c>
      <c r="T157" s="15">
        <v>973021.7</v>
      </c>
      <c r="U157" s="15">
        <f t="shared" si="11"/>
        <v>5864238.9100000011</v>
      </c>
      <c r="V157" s="16">
        <f t="shared" si="9"/>
        <v>0</v>
      </c>
      <c r="W157" s="16">
        <f>N157+O157-'додаток сесія_2024_2028_161 (2'!O156</f>
        <v>0</v>
      </c>
    </row>
    <row r="158" spans="1:23" s="17" customFormat="1" ht="47.25" hidden="1" customHeight="1" x14ac:dyDescent="0.2">
      <c r="A158" s="91"/>
      <c r="B158" s="92"/>
      <c r="C158" s="79" t="s">
        <v>346</v>
      </c>
      <c r="D158" s="95">
        <v>2021</v>
      </c>
      <c r="E158" s="473"/>
      <c r="F158" s="55" t="s">
        <v>13</v>
      </c>
      <c r="G158" s="20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241.5</v>
      </c>
      <c r="M158" s="15">
        <v>0</v>
      </c>
      <c r="N158" s="15">
        <f t="shared" si="10"/>
        <v>241.5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f t="shared" si="11"/>
        <v>241.5</v>
      </c>
      <c r="V158" s="16">
        <f t="shared" si="9"/>
        <v>0</v>
      </c>
      <c r="W158" s="16">
        <f>N158+O158-'додаток сесія_2024_2028_161 (2'!O157</f>
        <v>0</v>
      </c>
    </row>
    <row r="159" spans="1:23" s="17" customFormat="1" ht="42" hidden="1" customHeight="1" x14ac:dyDescent="0.2">
      <c r="A159" s="336"/>
      <c r="B159" s="335"/>
      <c r="C159" s="79" t="s">
        <v>373</v>
      </c>
      <c r="D159" s="95">
        <v>2021</v>
      </c>
      <c r="E159" s="474"/>
      <c r="F159" s="55" t="s">
        <v>13</v>
      </c>
      <c r="G159" s="20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f>0+400</f>
        <v>400</v>
      </c>
      <c r="M159" s="15">
        <v>0</v>
      </c>
      <c r="N159" s="15">
        <f t="shared" si="10"/>
        <v>400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f t="shared" si="11"/>
        <v>400</v>
      </c>
      <c r="V159" s="16">
        <f t="shared" si="9"/>
        <v>0</v>
      </c>
      <c r="W159" s="16">
        <f>N159+O159-'додаток сесія_2024_2028_161 (2'!O158</f>
        <v>0</v>
      </c>
    </row>
    <row r="160" spans="1:23" s="17" customFormat="1" ht="44.25" hidden="1" customHeight="1" x14ac:dyDescent="0.2">
      <c r="A160" s="91"/>
      <c r="B160" s="92"/>
      <c r="C160" s="79" t="s">
        <v>164</v>
      </c>
      <c r="D160" s="95">
        <v>2021</v>
      </c>
      <c r="E160" s="473"/>
      <c r="F160" s="55" t="s">
        <v>13</v>
      </c>
      <c r="G160" s="20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f>0+300</f>
        <v>300</v>
      </c>
      <c r="M160" s="15">
        <v>0</v>
      </c>
      <c r="N160" s="15">
        <f t="shared" si="10"/>
        <v>300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f t="shared" si="11"/>
        <v>300</v>
      </c>
      <c r="V160" s="16">
        <f t="shared" si="9"/>
        <v>0</v>
      </c>
      <c r="W160" s="16">
        <f>N160+O160-'додаток сесія_2024_2028_161 (2'!O159</f>
        <v>0</v>
      </c>
    </row>
    <row r="161" spans="1:23" s="17" customFormat="1" ht="47.25" hidden="1" customHeight="1" x14ac:dyDescent="0.2">
      <c r="A161" s="91"/>
      <c r="B161" s="92"/>
      <c r="C161" s="79" t="s">
        <v>349</v>
      </c>
      <c r="D161" s="95">
        <v>2021</v>
      </c>
      <c r="E161" s="473"/>
      <c r="F161" s="55" t="s">
        <v>13</v>
      </c>
      <c r="G161" s="20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2397</v>
      </c>
      <c r="M161" s="15">
        <v>0</v>
      </c>
      <c r="N161" s="15">
        <f t="shared" si="10"/>
        <v>2397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f t="shared" si="11"/>
        <v>2397</v>
      </c>
      <c r="V161" s="16">
        <f t="shared" si="9"/>
        <v>0</v>
      </c>
      <c r="W161" s="16">
        <f>N161+O161-'додаток сесія_2024_2028_161 (2'!O160</f>
        <v>0</v>
      </c>
    </row>
    <row r="162" spans="1:23" s="17" customFormat="1" ht="39" hidden="1" customHeight="1" x14ac:dyDescent="0.2">
      <c r="A162" s="91"/>
      <c r="B162" s="92"/>
      <c r="C162" s="79" t="s">
        <v>166</v>
      </c>
      <c r="D162" s="67">
        <v>2022</v>
      </c>
      <c r="E162" s="18"/>
      <c r="F162" s="55" t="s">
        <v>13</v>
      </c>
      <c r="G162" s="20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2500</v>
      </c>
      <c r="N162" s="15">
        <f t="shared" si="10"/>
        <v>2500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f t="shared" si="11"/>
        <v>2500</v>
      </c>
      <c r="V162" s="16">
        <f t="shared" si="9"/>
        <v>0</v>
      </c>
      <c r="W162" s="16">
        <f>N162+O162-'додаток сесія_2024_2028_161 (2'!O161</f>
        <v>0</v>
      </c>
    </row>
    <row r="163" spans="1:23" s="17" customFormat="1" ht="49.5" hidden="1" customHeight="1" x14ac:dyDescent="0.2">
      <c r="A163" s="91"/>
      <c r="B163" s="92"/>
      <c r="C163" s="79" t="s">
        <v>167</v>
      </c>
      <c r="D163" s="38" t="s">
        <v>73</v>
      </c>
      <c r="E163" s="18"/>
      <c r="F163" s="55" t="s">
        <v>13</v>
      </c>
      <c r="G163" s="20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6400</v>
      </c>
      <c r="N163" s="15">
        <f t="shared" si="10"/>
        <v>6400</v>
      </c>
      <c r="O163" s="15">
        <v>0</v>
      </c>
      <c r="P163" s="15">
        <v>0</v>
      </c>
      <c r="Q163" s="15">
        <v>0</v>
      </c>
      <c r="R163" s="15">
        <v>0</v>
      </c>
      <c r="S163" s="15">
        <v>18000</v>
      </c>
      <c r="T163" s="15">
        <v>19000</v>
      </c>
      <c r="U163" s="15">
        <f t="shared" si="11"/>
        <v>43400</v>
      </c>
      <c r="V163" s="16">
        <f t="shared" si="9"/>
        <v>0</v>
      </c>
      <c r="W163" s="16">
        <f>N163+O163-'додаток сесія_2024_2028_161 (2'!O162</f>
        <v>0</v>
      </c>
    </row>
    <row r="164" spans="1:23" s="17" customFormat="1" ht="49.5" hidden="1" customHeight="1" x14ac:dyDescent="0.2">
      <c r="A164" s="91"/>
      <c r="B164" s="92"/>
      <c r="C164" s="79" t="s">
        <v>168</v>
      </c>
      <c r="D164" s="95" t="s">
        <v>71</v>
      </c>
      <c r="E164" s="473"/>
      <c r="F164" s="55" t="s">
        <v>13</v>
      </c>
      <c r="G164" s="20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2600</v>
      </c>
      <c r="N164" s="15">
        <f t="shared" si="10"/>
        <v>2600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f t="shared" si="11"/>
        <v>2600</v>
      </c>
      <c r="V164" s="16">
        <f t="shared" si="9"/>
        <v>0</v>
      </c>
      <c r="W164" s="16">
        <f>N164+O164-'додаток сесія_2024_2028_161 (2'!O163</f>
        <v>0</v>
      </c>
    </row>
    <row r="165" spans="1:23" s="17" customFormat="1" ht="47.25" hidden="1" customHeight="1" x14ac:dyDescent="0.2">
      <c r="A165" s="91"/>
      <c r="B165" s="92"/>
      <c r="C165" s="79" t="s">
        <v>169</v>
      </c>
      <c r="D165" s="95" t="s">
        <v>71</v>
      </c>
      <c r="E165" s="473"/>
      <c r="F165" s="55" t="s">
        <v>13</v>
      </c>
      <c r="G165" s="20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1500</v>
      </c>
      <c r="N165" s="15">
        <f t="shared" si="10"/>
        <v>1500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f t="shared" si="11"/>
        <v>1500</v>
      </c>
      <c r="V165" s="16">
        <f t="shared" si="9"/>
        <v>0</v>
      </c>
      <c r="W165" s="16">
        <f>N165+O165-'додаток сесія_2024_2028_161 (2'!O164</f>
        <v>0</v>
      </c>
    </row>
    <row r="166" spans="1:23" s="17" customFormat="1" ht="48" hidden="1" customHeight="1" x14ac:dyDescent="0.2">
      <c r="A166" s="91"/>
      <c r="B166" s="92"/>
      <c r="C166" s="79" t="s">
        <v>170</v>
      </c>
      <c r="D166" s="95">
        <v>2022</v>
      </c>
      <c r="E166" s="473"/>
      <c r="F166" s="55" t="s">
        <v>13</v>
      </c>
      <c r="G166" s="20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700</v>
      </c>
      <c r="N166" s="15">
        <f t="shared" si="10"/>
        <v>700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f t="shared" si="11"/>
        <v>700</v>
      </c>
      <c r="V166" s="16">
        <f t="shared" si="9"/>
        <v>0</v>
      </c>
      <c r="W166" s="16">
        <f>N166+O166-'додаток сесія_2024_2028_161 (2'!O165</f>
        <v>0</v>
      </c>
    </row>
    <row r="167" spans="1:23" s="17" customFormat="1" ht="42.75" hidden="1" customHeight="1" x14ac:dyDescent="0.2">
      <c r="A167" s="91"/>
      <c r="B167" s="92"/>
      <c r="C167" s="79" t="s">
        <v>171</v>
      </c>
      <c r="D167" s="96">
        <v>2023</v>
      </c>
      <c r="E167" s="480"/>
      <c r="F167" s="96" t="s">
        <v>13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15">
        <v>0</v>
      </c>
      <c r="M167" s="15">
        <v>0</v>
      </c>
      <c r="N167" s="15">
        <f t="shared" si="10"/>
        <v>0</v>
      </c>
      <c r="O167" s="15">
        <v>400</v>
      </c>
      <c r="P167" s="15">
        <v>0</v>
      </c>
      <c r="Q167" s="15">
        <v>0</v>
      </c>
      <c r="R167" s="15">
        <v>0</v>
      </c>
      <c r="S167" s="15">
        <v>0</v>
      </c>
      <c r="T167" s="15">
        <v>0</v>
      </c>
      <c r="U167" s="15">
        <f t="shared" si="11"/>
        <v>400</v>
      </c>
      <c r="V167" s="16">
        <f t="shared" si="9"/>
        <v>0</v>
      </c>
      <c r="W167" s="16">
        <f>N167+O167-'додаток сесія_2024_2028_161 (2'!O166</f>
        <v>0</v>
      </c>
    </row>
    <row r="168" spans="1:23" s="17" customFormat="1" ht="42" hidden="1" customHeight="1" x14ac:dyDescent="0.2">
      <c r="A168" s="91"/>
      <c r="B168" s="92"/>
      <c r="C168" s="83" t="s">
        <v>172</v>
      </c>
      <c r="D168" s="96" t="s">
        <v>86</v>
      </c>
      <c r="E168" s="480"/>
      <c r="F168" s="96" t="s">
        <v>13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15">
        <v>0</v>
      </c>
      <c r="M168" s="15">
        <v>0</v>
      </c>
      <c r="N168" s="15">
        <f t="shared" si="10"/>
        <v>0</v>
      </c>
      <c r="O168" s="15">
        <v>9800</v>
      </c>
      <c r="P168" s="15">
        <v>0</v>
      </c>
      <c r="Q168" s="15">
        <v>0</v>
      </c>
      <c r="R168" s="15">
        <v>0</v>
      </c>
      <c r="S168" s="15">
        <v>0</v>
      </c>
      <c r="T168" s="15">
        <v>13760</v>
      </c>
      <c r="U168" s="15">
        <f t="shared" si="11"/>
        <v>23560</v>
      </c>
      <c r="V168" s="16">
        <f t="shared" si="9"/>
        <v>0</v>
      </c>
      <c r="W168" s="16">
        <f>N168+O168-'додаток сесія_2024_2028_161 (2'!O167</f>
        <v>0</v>
      </c>
    </row>
    <row r="169" spans="1:23" s="17" customFormat="1" ht="45.75" hidden="1" customHeight="1" x14ac:dyDescent="0.2">
      <c r="A169" s="91"/>
      <c r="B169" s="92"/>
      <c r="C169" s="85" t="s">
        <v>173</v>
      </c>
      <c r="D169" s="524" t="s">
        <v>86</v>
      </c>
      <c r="E169" s="480"/>
      <c r="F169" s="96" t="s">
        <v>13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15">
        <v>0</v>
      </c>
      <c r="M169" s="15">
        <v>0</v>
      </c>
      <c r="N169" s="15">
        <f t="shared" si="10"/>
        <v>0</v>
      </c>
      <c r="O169" s="15">
        <v>4100</v>
      </c>
      <c r="P169" s="15">
        <v>0</v>
      </c>
      <c r="Q169" s="15">
        <v>0</v>
      </c>
      <c r="R169" s="15">
        <v>0</v>
      </c>
      <c r="S169" s="15">
        <v>0</v>
      </c>
      <c r="T169" s="15">
        <v>5757</v>
      </c>
      <c r="U169" s="15">
        <f t="shared" si="11"/>
        <v>9857</v>
      </c>
      <c r="V169" s="16">
        <f t="shared" si="9"/>
        <v>0</v>
      </c>
      <c r="W169" s="16">
        <f>N169+O169-'додаток сесія_2024_2028_161 (2'!O168</f>
        <v>0</v>
      </c>
    </row>
    <row r="170" spans="1:23" s="17" customFormat="1" ht="46.5" hidden="1" customHeight="1" x14ac:dyDescent="0.2">
      <c r="A170" s="91"/>
      <c r="B170" s="92"/>
      <c r="C170" s="79" t="s">
        <v>174</v>
      </c>
      <c r="D170" s="99">
        <v>2023</v>
      </c>
      <c r="E170" s="480"/>
      <c r="F170" s="96" t="s">
        <v>13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15">
        <v>0</v>
      </c>
      <c r="M170" s="15">
        <v>0</v>
      </c>
      <c r="N170" s="15">
        <f t="shared" si="10"/>
        <v>0</v>
      </c>
      <c r="O170" s="15">
        <v>720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f t="shared" si="11"/>
        <v>720</v>
      </c>
      <c r="V170" s="16">
        <f t="shared" si="9"/>
        <v>0</v>
      </c>
      <c r="W170" s="16">
        <f>N170+O170-'додаток сесія_2024_2028_161 (2'!O169</f>
        <v>0</v>
      </c>
    </row>
    <row r="171" spans="1:23" s="17" customFormat="1" ht="45.75" hidden="1" customHeight="1" x14ac:dyDescent="0.2">
      <c r="A171" s="94"/>
      <c r="B171" s="92"/>
      <c r="C171" s="79" t="s">
        <v>411</v>
      </c>
      <c r="D171" s="100" t="s">
        <v>88</v>
      </c>
      <c r="E171" s="481"/>
      <c r="F171" s="337" t="s">
        <v>13</v>
      </c>
      <c r="G171" s="190">
        <v>0</v>
      </c>
      <c r="H171" s="190">
        <v>0</v>
      </c>
      <c r="I171" s="190">
        <v>0</v>
      </c>
      <c r="J171" s="190">
        <v>0</v>
      </c>
      <c r="K171" s="190">
        <v>0</v>
      </c>
      <c r="L171" s="189">
        <v>0</v>
      </c>
      <c r="M171" s="189">
        <v>0</v>
      </c>
      <c r="N171" s="15">
        <f t="shared" si="10"/>
        <v>0</v>
      </c>
      <c r="O171" s="189">
        <v>0</v>
      </c>
      <c r="P171" s="15">
        <v>273</v>
      </c>
      <c r="Q171" s="190">
        <v>0</v>
      </c>
      <c r="R171" s="190">
        <v>0</v>
      </c>
      <c r="S171" s="190">
        <v>0</v>
      </c>
      <c r="T171" s="189">
        <f>700-700</f>
        <v>0</v>
      </c>
      <c r="U171" s="15">
        <f t="shared" si="11"/>
        <v>273</v>
      </c>
      <c r="V171" s="16">
        <f t="shared" si="9"/>
        <v>0</v>
      </c>
      <c r="W171" s="16">
        <f>N171+O171-'додаток сесія_2024_2028_161 (2'!O170</f>
        <v>0</v>
      </c>
    </row>
    <row r="172" spans="1:23" s="17" customFormat="1" ht="45" hidden="1" customHeight="1" x14ac:dyDescent="0.2">
      <c r="A172" s="94"/>
      <c r="B172" s="92"/>
      <c r="C172" s="79" t="s">
        <v>176</v>
      </c>
      <c r="D172" s="100" t="s">
        <v>88</v>
      </c>
      <c r="E172" s="482"/>
      <c r="F172" s="337" t="s">
        <v>13</v>
      </c>
      <c r="G172" s="190">
        <v>0</v>
      </c>
      <c r="H172" s="190">
        <v>0</v>
      </c>
      <c r="I172" s="190">
        <v>0</v>
      </c>
      <c r="J172" s="190">
        <v>0</v>
      </c>
      <c r="K172" s="190">
        <v>0</v>
      </c>
      <c r="L172" s="189">
        <v>0</v>
      </c>
      <c r="M172" s="189">
        <v>0</v>
      </c>
      <c r="N172" s="15">
        <f t="shared" si="10"/>
        <v>0</v>
      </c>
      <c r="O172" s="189">
        <v>0</v>
      </c>
      <c r="P172" s="15">
        <v>3550</v>
      </c>
      <c r="Q172" s="189">
        <v>0</v>
      </c>
      <c r="R172" s="189">
        <v>0</v>
      </c>
      <c r="S172" s="15">
        <v>4250</v>
      </c>
      <c r="T172" s="189">
        <v>0</v>
      </c>
      <c r="U172" s="15">
        <f t="shared" si="11"/>
        <v>7800</v>
      </c>
      <c r="V172" s="16">
        <f t="shared" si="9"/>
        <v>0</v>
      </c>
      <c r="W172" s="16">
        <f>N172+O172-'додаток сесія_2024_2028_161 (2'!O171</f>
        <v>0</v>
      </c>
    </row>
    <row r="173" spans="1:23" s="17" customFormat="1" ht="48" hidden="1" customHeight="1" x14ac:dyDescent="0.2">
      <c r="A173" s="94"/>
      <c r="B173" s="92"/>
      <c r="C173" s="79" t="s">
        <v>404</v>
      </c>
      <c r="D173" s="100" t="s">
        <v>88</v>
      </c>
      <c r="E173" s="482"/>
      <c r="F173" s="337" t="s">
        <v>13</v>
      </c>
      <c r="G173" s="190">
        <v>0</v>
      </c>
      <c r="H173" s="190">
        <v>0</v>
      </c>
      <c r="I173" s="190">
        <v>0</v>
      </c>
      <c r="J173" s="190">
        <v>0</v>
      </c>
      <c r="K173" s="190">
        <v>0</v>
      </c>
      <c r="L173" s="189">
        <v>0</v>
      </c>
      <c r="M173" s="189">
        <v>0</v>
      </c>
      <c r="N173" s="15">
        <f t="shared" si="10"/>
        <v>0</v>
      </c>
      <c r="O173" s="189">
        <v>0</v>
      </c>
      <c r="P173" s="15">
        <v>1150</v>
      </c>
      <c r="Q173" s="190">
        <v>0</v>
      </c>
      <c r="R173" s="190">
        <v>0</v>
      </c>
      <c r="S173" s="190">
        <v>0</v>
      </c>
      <c r="T173" s="189">
        <f>700-700</f>
        <v>0</v>
      </c>
      <c r="U173" s="15">
        <f t="shared" si="11"/>
        <v>1150</v>
      </c>
      <c r="V173" s="16">
        <f t="shared" si="9"/>
        <v>0</v>
      </c>
      <c r="W173" s="16">
        <f>N173+O173-'додаток сесія_2024_2028_161 (2'!O172</f>
        <v>0</v>
      </c>
    </row>
    <row r="174" spans="1:23" s="17" customFormat="1" ht="43.5" hidden="1" customHeight="1" x14ac:dyDescent="0.2">
      <c r="A174" s="94"/>
      <c r="B174" s="92"/>
      <c r="C174" s="79" t="s">
        <v>405</v>
      </c>
      <c r="D174" s="100" t="s">
        <v>88</v>
      </c>
      <c r="E174" s="482"/>
      <c r="F174" s="337" t="s">
        <v>13</v>
      </c>
      <c r="G174" s="190">
        <v>0</v>
      </c>
      <c r="H174" s="190">
        <v>0</v>
      </c>
      <c r="I174" s="190">
        <v>0</v>
      </c>
      <c r="J174" s="190">
        <v>0</v>
      </c>
      <c r="K174" s="190">
        <v>0</v>
      </c>
      <c r="L174" s="189">
        <v>0</v>
      </c>
      <c r="M174" s="189">
        <v>0</v>
      </c>
      <c r="N174" s="15">
        <f t="shared" si="10"/>
        <v>0</v>
      </c>
      <c r="O174" s="189">
        <v>0</v>
      </c>
      <c r="P174" s="15">
        <v>420</v>
      </c>
      <c r="Q174" s="190">
        <v>0</v>
      </c>
      <c r="R174" s="190">
        <v>0</v>
      </c>
      <c r="S174" s="190">
        <v>0</v>
      </c>
      <c r="T174" s="189">
        <f>700-700</f>
        <v>0</v>
      </c>
      <c r="U174" s="15">
        <f t="shared" si="11"/>
        <v>420</v>
      </c>
      <c r="V174" s="16">
        <f t="shared" si="9"/>
        <v>0</v>
      </c>
      <c r="W174" s="16">
        <f>N174+O174-'додаток сесія_2024_2028_161 (2'!O173</f>
        <v>0</v>
      </c>
    </row>
    <row r="175" spans="1:23" s="17" customFormat="1" ht="43.5" hidden="1" customHeight="1" x14ac:dyDescent="0.2">
      <c r="A175" s="94"/>
      <c r="B175" s="92"/>
      <c r="C175" s="79" t="s">
        <v>406</v>
      </c>
      <c r="D175" s="100" t="s">
        <v>88</v>
      </c>
      <c r="E175" s="482"/>
      <c r="F175" s="337" t="s">
        <v>13</v>
      </c>
      <c r="G175" s="190">
        <v>0</v>
      </c>
      <c r="H175" s="190">
        <v>0</v>
      </c>
      <c r="I175" s="190">
        <v>0</v>
      </c>
      <c r="J175" s="190">
        <v>0</v>
      </c>
      <c r="K175" s="190">
        <v>0</v>
      </c>
      <c r="L175" s="189">
        <v>0</v>
      </c>
      <c r="M175" s="189">
        <v>0</v>
      </c>
      <c r="N175" s="15">
        <f t="shared" si="10"/>
        <v>0</v>
      </c>
      <c r="O175" s="189">
        <v>0</v>
      </c>
      <c r="P175" s="15">
        <v>5700</v>
      </c>
      <c r="Q175" s="190">
        <v>0</v>
      </c>
      <c r="R175" s="190">
        <v>0</v>
      </c>
      <c r="S175" s="190">
        <v>0</v>
      </c>
      <c r="T175" s="189">
        <f>700-700</f>
        <v>0</v>
      </c>
      <c r="U175" s="15">
        <f t="shared" si="11"/>
        <v>5700</v>
      </c>
      <c r="V175" s="16">
        <f t="shared" si="9"/>
        <v>0</v>
      </c>
      <c r="W175" s="16">
        <f>N175+O175-'додаток сесія_2024_2028_161 (2'!O174</f>
        <v>0</v>
      </c>
    </row>
    <row r="176" spans="1:23" s="17" customFormat="1" ht="47.25" hidden="1" customHeight="1" x14ac:dyDescent="0.2">
      <c r="A176" s="94"/>
      <c r="B176" s="92"/>
      <c r="C176" s="79" t="s">
        <v>407</v>
      </c>
      <c r="D176" s="100" t="s">
        <v>88</v>
      </c>
      <c r="E176" s="482"/>
      <c r="F176" s="337" t="s">
        <v>13</v>
      </c>
      <c r="G176" s="190">
        <v>0</v>
      </c>
      <c r="H176" s="190">
        <v>0</v>
      </c>
      <c r="I176" s="190">
        <v>0</v>
      </c>
      <c r="J176" s="190">
        <v>0</v>
      </c>
      <c r="K176" s="190">
        <v>0</v>
      </c>
      <c r="L176" s="189">
        <v>0</v>
      </c>
      <c r="M176" s="189">
        <v>0</v>
      </c>
      <c r="N176" s="15">
        <f t="shared" si="10"/>
        <v>0</v>
      </c>
      <c r="O176" s="190">
        <v>0</v>
      </c>
      <c r="P176" s="190">
        <v>0</v>
      </c>
      <c r="Q176" s="190">
        <v>0</v>
      </c>
      <c r="R176" s="189">
        <v>0</v>
      </c>
      <c r="S176" s="189">
        <v>0</v>
      </c>
      <c r="T176" s="15">
        <v>8500</v>
      </c>
      <c r="U176" s="15">
        <f t="shared" si="11"/>
        <v>8500</v>
      </c>
      <c r="V176" s="16">
        <f t="shared" si="9"/>
        <v>0</v>
      </c>
      <c r="W176" s="16">
        <f>N176+O176-'додаток сесія_2024_2028_161 (2'!O175</f>
        <v>0</v>
      </c>
    </row>
    <row r="177" spans="1:23" s="17" customFormat="1" ht="45.75" hidden="1" customHeight="1" x14ac:dyDescent="0.2">
      <c r="A177" s="94"/>
      <c r="B177" s="92"/>
      <c r="C177" s="79" t="s">
        <v>408</v>
      </c>
      <c r="D177" s="100" t="s">
        <v>88</v>
      </c>
      <c r="E177" s="482"/>
      <c r="F177" s="337" t="s">
        <v>13</v>
      </c>
      <c r="G177" s="190">
        <v>0</v>
      </c>
      <c r="H177" s="190">
        <v>0</v>
      </c>
      <c r="I177" s="190">
        <v>0</v>
      </c>
      <c r="J177" s="190">
        <v>0</v>
      </c>
      <c r="K177" s="190">
        <v>0</v>
      </c>
      <c r="L177" s="189">
        <v>0</v>
      </c>
      <c r="M177" s="189">
        <v>0</v>
      </c>
      <c r="N177" s="15">
        <f t="shared" si="10"/>
        <v>0</v>
      </c>
      <c r="O177" s="190">
        <v>0</v>
      </c>
      <c r="P177" s="15">
        <v>12500</v>
      </c>
      <c r="Q177" s="190">
        <v>0</v>
      </c>
      <c r="R177" s="190">
        <v>0</v>
      </c>
      <c r="S177" s="190">
        <v>0</v>
      </c>
      <c r="T177" s="189">
        <f>700-700</f>
        <v>0</v>
      </c>
      <c r="U177" s="15">
        <f t="shared" si="11"/>
        <v>12500</v>
      </c>
      <c r="V177" s="16">
        <f t="shared" si="9"/>
        <v>0</v>
      </c>
      <c r="W177" s="16">
        <f>N177+O177-'додаток сесія_2024_2028_161 (2'!O176</f>
        <v>0</v>
      </c>
    </row>
    <row r="178" spans="1:23" s="17" customFormat="1" ht="41.25" hidden="1" customHeight="1" x14ac:dyDescent="0.2">
      <c r="A178" s="94"/>
      <c r="B178" s="92"/>
      <c r="C178" s="102" t="s">
        <v>409</v>
      </c>
      <c r="D178" s="103" t="s">
        <v>88</v>
      </c>
      <c r="E178" s="482"/>
      <c r="F178" s="337" t="s">
        <v>13</v>
      </c>
      <c r="G178" s="190">
        <v>0</v>
      </c>
      <c r="H178" s="190">
        <v>0</v>
      </c>
      <c r="I178" s="190">
        <v>0</v>
      </c>
      <c r="J178" s="190">
        <v>0</v>
      </c>
      <c r="K178" s="190">
        <v>0</v>
      </c>
      <c r="L178" s="189">
        <v>0</v>
      </c>
      <c r="M178" s="189">
        <v>0</v>
      </c>
      <c r="N178" s="15">
        <f t="shared" si="10"/>
        <v>0</v>
      </c>
      <c r="O178" s="190">
        <v>0</v>
      </c>
      <c r="P178" s="15">
        <v>5400</v>
      </c>
      <c r="Q178" s="190">
        <v>0</v>
      </c>
      <c r="R178" s="190">
        <v>0</v>
      </c>
      <c r="S178" s="190">
        <v>0</v>
      </c>
      <c r="T178" s="189">
        <f>700-700</f>
        <v>0</v>
      </c>
      <c r="U178" s="15">
        <f t="shared" si="11"/>
        <v>5400</v>
      </c>
      <c r="V178" s="16">
        <f t="shared" si="9"/>
        <v>0</v>
      </c>
      <c r="W178" s="16">
        <f>N178+O178-'додаток сесія_2024_2028_161 (2'!O177</f>
        <v>0</v>
      </c>
    </row>
    <row r="179" spans="1:23" s="17" customFormat="1" ht="46.5" hidden="1" customHeight="1" x14ac:dyDescent="0.2">
      <c r="A179" s="334"/>
      <c r="B179" s="335"/>
      <c r="C179" s="102" t="s">
        <v>410</v>
      </c>
      <c r="D179" s="103" t="s">
        <v>88</v>
      </c>
      <c r="E179" s="483"/>
      <c r="F179" s="337" t="s">
        <v>13</v>
      </c>
      <c r="G179" s="190">
        <v>0</v>
      </c>
      <c r="H179" s="190">
        <v>0</v>
      </c>
      <c r="I179" s="190">
        <v>0</v>
      </c>
      <c r="J179" s="190">
        <v>0</v>
      </c>
      <c r="K179" s="190">
        <v>0</v>
      </c>
      <c r="L179" s="189">
        <v>0</v>
      </c>
      <c r="M179" s="189">
        <v>0</v>
      </c>
      <c r="N179" s="15">
        <f t="shared" si="10"/>
        <v>0</v>
      </c>
      <c r="O179" s="190">
        <v>0</v>
      </c>
      <c r="P179" s="15">
        <v>2800</v>
      </c>
      <c r="Q179" s="190">
        <v>0</v>
      </c>
      <c r="R179" s="190">
        <v>0</v>
      </c>
      <c r="S179" s="190">
        <v>0</v>
      </c>
      <c r="T179" s="189">
        <f>700-700</f>
        <v>0</v>
      </c>
      <c r="U179" s="15">
        <f t="shared" si="11"/>
        <v>2800</v>
      </c>
      <c r="V179" s="16">
        <f t="shared" si="9"/>
        <v>0</v>
      </c>
      <c r="W179" s="16">
        <f>N179+O179-'додаток сесія_2024_2028_161 (2'!O178</f>
        <v>0</v>
      </c>
    </row>
    <row r="180" spans="1:23" s="17" customFormat="1" ht="40.5" hidden="1" customHeight="1" x14ac:dyDescent="0.2">
      <c r="A180" s="94"/>
      <c r="B180" s="92"/>
      <c r="C180" s="102" t="s">
        <v>431</v>
      </c>
      <c r="D180" s="103" t="s">
        <v>88</v>
      </c>
      <c r="E180" s="482"/>
      <c r="F180" s="337" t="s">
        <v>13</v>
      </c>
      <c r="G180" s="190">
        <v>0</v>
      </c>
      <c r="H180" s="190">
        <v>0</v>
      </c>
      <c r="I180" s="190">
        <v>0</v>
      </c>
      <c r="J180" s="190">
        <v>0</v>
      </c>
      <c r="K180" s="190">
        <v>0</v>
      </c>
      <c r="L180" s="189">
        <v>0</v>
      </c>
      <c r="M180" s="189">
        <v>0</v>
      </c>
      <c r="N180" s="15">
        <f t="shared" si="10"/>
        <v>0</v>
      </c>
      <c r="O180" s="190">
        <v>0</v>
      </c>
      <c r="P180" s="15">
        <v>650</v>
      </c>
      <c r="Q180" s="190">
        <v>0</v>
      </c>
      <c r="R180" s="15">
        <v>0</v>
      </c>
      <c r="S180" s="190">
        <v>0</v>
      </c>
      <c r="T180" s="15">
        <v>824</v>
      </c>
      <c r="U180" s="15">
        <f t="shared" si="11"/>
        <v>1474</v>
      </c>
      <c r="V180" s="16">
        <f t="shared" si="9"/>
        <v>0</v>
      </c>
      <c r="W180" s="16">
        <f>N180+O180-'додаток сесія_2024_2028_161 (2'!O179</f>
        <v>0</v>
      </c>
    </row>
    <row r="181" spans="1:23" s="17" customFormat="1" ht="42" hidden="1" customHeight="1" x14ac:dyDescent="0.2">
      <c r="A181" s="94"/>
      <c r="B181" s="92"/>
      <c r="C181" s="102" t="s">
        <v>185</v>
      </c>
      <c r="D181" s="103" t="s">
        <v>88</v>
      </c>
      <c r="E181" s="482"/>
      <c r="F181" s="337" t="s">
        <v>13</v>
      </c>
      <c r="G181" s="190">
        <v>0</v>
      </c>
      <c r="H181" s="190">
        <v>0</v>
      </c>
      <c r="I181" s="190">
        <v>0</v>
      </c>
      <c r="J181" s="190">
        <v>0</v>
      </c>
      <c r="K181" s="190">
        <v>0</v>
      </c>
      <c r="L181" s="189">
        <v>0</v>
      </c>
      <c r="M181" s="189">
        <v>0</v>
      </c>
      <c r="N181" s="15">
        <f t="shared" si="10"/>
        <v>0</v>
      </c>
      <c r="O181" s="190">
        <v>0</v>
      </c>
      <c r="P181" s="190">
        <v>0</v>
      </c>
      <c r="Q181" s="190">
        <v>0</v>
      </c>
      <c r="R181" s="189">
        <v>0</v>
      </c>
      <c r="S181" s="15">
        <v>667</v>
      </c>
      <c r="T181" s="190">
        <v>0</v>
      </c>
      <c r="U181" s="15">
        <f t="shared" si="11"/>
        <v>667</v>
      </c>
      <c r="V181" s="16">
        <f t="shared" si="9"/>
        <v>0</v>
      </c>
      <c r="W181" s="16">
        <f>N181+O181-'додаток сесія_2024_2028_161 (2'!O180</f>
        <v>0</v>
      </c>
    </row>
    <row r="182" spans="1:23" s="17" customFormat="1" ht="45.75" hidden="1" customHeight="1" x14ac:dyDescent="0.2">
      <c r="A182" s="94"/>
      <c r="B182" s="92"/>
      <c r="C182" s="102" t="s">
        <v>186</v>
      </c>
      <c r="D182" s="103" t="s">
        <v>88</v>
      </c>
      <c r="E182" s="482"/>
      <c r="F182" s="337" t="s">
        <v>13</v>
      </c>
      <c r="G182" s="190">
        <v>0</v>
      </c>
      <c r="H182" s="190">
        <v>0</v>
      </c>
      <c r="I182" s="190">
        <v>0</v>
      </c>
      <c r="J182" s="190">
        <v>0</v>
      </c>
      <c r="K182" s="190">
        <v>0</v>
      </c>
      <c r="L182" s="189">
        <v>0</v>
      </c>
      <c r="M182" s="189">
        <v>0</v>
      </c>
      <c r="N182" s="15">
        <f t="shared" si="10"/>
        <v>0</v>
      </c>
      <c r="O182" s="190">
        <v>0</v>
      </c>
      <c r="P182" s="190">
        <v>0</v>
      </c>
      <c r="Q182" s="190">
        <v>0</v>
      </c>
      <c r="R182" s="189">
        <v>0</v>
      </c>
      <c r="S182" s="15">
        <v>120</v>
      </c>
      <c r="T182" s="190">
        <v>0</v>
      </c>
      <c r="U182" s="15">
        <f t="shared" si="11"/>
        <v>120</v>
      </c>
      <c r="V182" s="16">
        <f t="shared" si="9"/>
        <v>0</v>
      </c>
      <c r="W182" s="16">
        <f>N182+O182-'додаток сесія_2024_2028_161 (2'!O181</f>
        <v>0</v>
      </c>
    </row>
    <row r="183" spans="1:23" s="17" customFormat="1" ht="42.75" hidden="1" customHeight="1" x14ac:dyDescent="0.2">
      <c r="A183" s="94"/>
      <c r="B183" s="92"/>
      <c r="C183" s="83" t="s">
        <v>413</v>
      </c>
      <c r="D183" s="103" t="s">
        <v>88</v>
      </c>
      <c r="E183" s="482"/>
      <c r="F183" s="337" t="s">
        <v>13</v>
      </c>
      <c r="G183" s="190">
        <v>0</v>
      </c>
      <c r="H183" s="190">
        <v>0</v>
      </c>
      <c r="I183" s="190">
        <v>0</v>
      </c>
      <c r="J183" s="190">
        <v>0</v>
      </c>
      <c r="K183" s="190">
        <v>0</v>
      </c>
      <c r="L183" s="189">
        <v>0</v>
      </c>
      <c r="M183" s="189">
        <v>0</v>
      </c>
      <c r="N183" s="15">
        <f t="shared" si="10"/>
        <v>0</v>
      </c>
      <c r="O183" s="190">
        <v>0</v>
      </c>
      <c r="P183" s="190">
        <v>0</v>
      </c>
      <c r="Q183" s="189">
        <v>0</v>
      </c>
      <c r="R183" s="15">
        <v>160</v>
      </c>
      <c r="S183" s="190">
        <v>0</v>
      </c>
      <c r="T183" s="15">
        <v>179</v>
      </c>
      <c r="U183" s="15">
        <f t="shared" si="11"/>
        <v>339</v>
      </c>
      <c r="V183" s="16">
        <f t="shared" si="9"/>
        <v>0</v>
      </c>
      <c r="W183" s="16">
        <f>N183+O183-'додаток сесія_2024_2028_161 (2'!O182</f>
        <v>0</v>
      </c>
    </row>
    <row r="184" spans="1:23" s="17" customFormat="1" ht="44.25" hidden="1" customHeight="1" x14ac:dyDescent="0.2">
      <c r="A184" s="94"/>
      <c r="B184" s="92"/>
      <c r="C184" s="85" t="s">
        <v>188</v>
      </c>
      <c r="D184" s="104" t="s">
        <v>88</v>
      </c>
      <c r="E184" s="482"/>
      <c r="F184" s="337" t="s">
        <v>13</v>
      </c>
      <c r="G184" s="190">
        <v>0</v>
      </c>
      <c r="H184" s="190">
        <v>0</v>
      </c>
      <c r="I184" s="190">
        <v>0</v>
      </c>
      <c r="J184" s="190">
        <v>0</v>
      </c>
      <c r="K184" s="190">
        <v>0</v>
      </c>
      <c r="L184" s="189">
        <v>0</v>
      </c>
      <c r="M184" s="189">
        <v>0</v>
      </c>
      <c r="N184" s="15">
        <f t="shared" si="10"/>
        <v>0</v>
      </c>
      <c r="O184" s="190">
        <v>0</v>
      </c>
      <c r="P184" s="190">
        <v>0</v>
      </c>
      <c r="Q184" s="189">
        <v>0</v>
      </c>
      <c r="R184" s="15">
        <v>120</v>
      </c>
      <c r="S184" s="190">
        <v>0</v>
      </c>
      <c r="T184" s="189">
        <v>0</v>
      </c>
      <c r="U184" s="15">
        <f t="shared" si="11"/>
        <v>120</v>
      </c>
      <c r="V184" s="16">
        <f t="shared" si="9"/>
        <v>0</v>
      </c>
      <c r="W184" s="16">
        <f>N184+O184-'додаток сесія_2024_2028_161 (2'!O183</f>
        <v>0</v>
      </c>
    </row>
    <row r="185" spans="1:23" s="17" customFormat="1" ht="45" hidden="1" customHeight="1" x14ac:dyDescent="0.2">
      <c r="A185" s="94"/>
      <c r="B185" s="92"/>
      <c r="C185" s="102" t="s">
        <v>189</v>
      </c>
      <c r="D185" s="103" t="s">
        <v>88</v>
      </c>
      <c r="E185" s="482"/>
      <c r="F185" s="337" t="s">
        <v>13</v>
      </c>
      <c r="G185" s="190">
        <v>0</v>
      </c>
      <c r="H185" s="190">
        <v>0</v>
      </c>
      <c r="I185" s="190">
        <v>0</v>
      </c>
      <c r="J185" s="190">
        <v>0</v>
      </c>
      <c r="K185" s="190">
        <v>0</v>
      </c>
      <c r="L185" s="189">
        <v>0</v>
      </c>
      <c r="M185" s="189">
        <v>0</v>
      </c>
      <c r="N185" s="15">
        <f t="shared" si="10"/>
        <v>0</v>
      </c>
      <c r="O185" s="190">
        <v>0</v>
      </c>
      <c r="P185" s="190">
        <v>0</v>
      </c>
      <c r="Q185" s="190">
        <v>0</v>
      </c>
      <c r="R185" s="189">
        <v>0</v>
      </c>
      <c r="S185" s="15">
        <v>154</v>
      </c>
      <c r="T185" s="190">
        <v>0</v>
      </c>
      <c r="U185" s="15">
        <f t="shared" si="11"/>
        <v>154</v>
      </c>
      <c r="V185" s="16">
        <f t="shared" si="9"/>
        <v>0</v>
      </c>
      <c r="W185" s="16">
        <f>N185+O185-'додаток сесія_2024_2028_161 (2'!O184</f>
        <v>0</v>
      </c>
    </row>
    <row r="186" spans="1:23" s="17" customFormat="1" ht="42.75" hidden="1" customHeight="1" x14ac:dyDescent="0.2">
      <c r="A186" s="94"/>
      <c r="B186" s="92"/>
      <c r="C186" s="102" t="s">
        <v>412</v>
      </c>
      <c r="D186" s="103" t="s">
        <v>88</v>
      </c>
      <c r="E186" s="482"/>
      <c r="F186" s="337" t="s">
        <v>13</v>
      </c>
      <c r="G186" s="190">
        <v>0</v>
      </c>
      <c r="H186" s="190">
        <v>0</v>
      </c>
      <c r="I186" s="190">
        <v>0</v>
      </c>
      <c r="J186" s="190">
        <v>0</v>
      </c>
      <c r="K186" s="190">
        <v>0</v>
      </c>
      <c r="L186" s="189">
        <v>0</v>
      </c>
      <c r="M186" s="189">
        <v>0</v>
      </c>
      <c r="N186" s="15">
        <f t="shared" si="10"/>
        <v>0</v>
      </c>
      <c r="O186" s="190">
        <v>0</v>
      </c>
      <c r="P186" s="190">
        <v>0</v>
      </c>
      <c r="Q186" s="190">
        <v>0</v>
      </c>
      <c r="R186" s="189">
        <v>0</v>
      </c>
      <c r="S186" s="15">
        <v>1343</v>
      </c>
      <c r="T186" s="190">
        <v>0</v>
      </c>
      <c r="U186" s="15">
        <f t="shared" si="11"/>
        <v>1343</v>
      </c>
      <c r="V186" s="16">
        <f t="shared" si="9"/>
        <v>0</v>
      </c>
      <c r="W186" s="16">
        <f>N186+O186-'додаток сесія_2024_2028_161 (2'!O185</f>
        <v>0</v>
      </c>
    </row>
    <row r="187" spans="1:23" s="17" customFormat="1" ht="39" hidden="1" customHeight="1" x14ac:dyDescent="0.2">
      <c r="A187" s="94"/>
      <c r="B187" s="92"/>
      <c r="C187" s="102" t="s">
        <v>417</v>
      </c>
      <c r="D187" s="103" t="s">
        <v>88</v>
      </c>
      <c r="E187" s="482"/>
      <c r="F187" s="337" t="s">
        <v>13</v>
      </c>
      <c r="G187" s="190">
        <v>0</v>
      </c>
      <c r="H187" s="190">
        <v>0</v>
      </c>
      <c r="I187" s="190">
        <v>0</v>
      </c>
      <c r="J187" s="190">
        <v>0</v>
      </c>
      <c r="K187" s="190">
        <v>0</v>
      </c>
      <c r="L187" s="189">
        <v>0</v>
      </c>
      <c r="M187" s="189">
        <v>0</v>
      </c>
      <c r="N187" s="15">
        <f t="shared" si="10"/>
        <v>0</v>
      </c>
      <c r="O187" s="190">
        <v>0</v>
      </c>
      <c r="P187" s="190">
        <v>0</v>
      </c>
      <c r="Q187" s="190">
        <v>0</v>
      </c>
      <c r="R187" s="189">
        <v>0</v>
      </c>
      <c r="S187" s="15">
        <v>150</v>
      </c>
      <c r="T187" s="190">
        <v>0</v>
      </c>
      <c r="U187" s="15">
        <f t="shared" si="11"/>
        <v>150</v>
      </c>
      <c r="V187" s="16">
        <f t="shared" si="9"/>
        <v>0</v>
      </c>
      <c r="W187" s="16">
        <f>N187+O187-'додаток сесія_2024_2028_161 (2'!O186</f>
        <v>0</v>
      </c>
    </row>
    <row r="188" spans="1:23" s="17" customFormat="1" ht="43.5" hidden="1" customHeight="1" x14ac:dyDescent="0.2">
      <c r="A188" s="94"/>
      <c r="B188" s="92"/>
      <c r="C188" s="102" t="s">
        <v>418</v>
      </c>
      <c r="D188" s="103" t="s">
        <v>88</v>
      </c>
      <c r="E188" s="482"/>
      <c r="F188" s="337" t="s">
        <v>13</v>
      </c>
      <c r="G188" s="190">
        <v>0</v>
      </c>
      <c r="H188" s="190">
        <v>0</v>
      </c>
      <c r="I188" s="190">
        <v>0</v>
      </c>
      <c r="J188" s="190">
        <v>0</v>
      </c>
      <c r="K188" s="190">
        <v>0</v>
      </c>
      <c r="L188" s="189">
        <v>0</v>
      </c>
      <c r="M188" s="189">
        <v>0</v>
      </c>
      <c r="N188" s="15">
        <f t="shared" si="10"/>
        <v>0</v>
      </c>
      <c r="O188" s="190">
        <v>0</v>
      </c>
      <c r="P188" s="190">
        <v>0</v>
      </c>
      <c r="Q188" s="190">
        <v>0</v>
      </c>
      <c r="R188" s="189">
        <v>0</v>
      </c>
      <c r="S188" s="190">
        <v>0</v>
      </c>
      <c r="T188" s="15">
        <v>190</v>
      </c>
      <c r="U188" s="15">
        <f t="shared" si="11"/>
        <v>190</v>
      </c>
      <c r="V188" s="16">
        <f t="shared" si="9"/>
        <v>0</v>
      </c>
      <c r="W188" s="16">
        <f>N188+O188-'додаток сесія_2024_2028_161 (2'!O187</f>
        <v>0</v>
      </c>
    </row>
    <row r="189" spans="1:23" s="17" customFormat="1" ht="44.25" hidden="1" customHeight="1" x14ac:dyDescent="0.2">
      <c r="A189" s="94"/>
      <c r="B189" s="92"/>
      <c r="C189" s="105" t="s">
        <v>419</v>
      </c>
      <c r="D189" s="106" t="s">
        <v>88</v>
      </c>
      <c r="E189" s="482"/>
      <c r="F189" s="337" t="s">
        <v>13</v>
      </c>
      <c r="G189" s="190">
        <v>0</v>
      </c>
      <c r="H189" s="190">
        <v>0</v>
      </c>
      <c r="I189" s="190">
        <v>0</v>
      </c>
      <c r="J189" s="190">
        <v>0</v>
      </c>
      <c r="K189" s="190">
        <v>0</v>
      </c>
      <c r="L189" s="189">
        <v>0</v>
      </c>
      <c r="M189" s="189">
        <v>0</v>
      </c>
      <c r="N189" s="15">
        <f t="shared" si="10"/>
        <v>0</v>
      </c>
      <c r="O189" s="190">
        <v>0</v>
      </c>
      <c r="P189" s="190">
        <v>0</v>
      </c>
      <c r="Q189" s="190">
        <v>0</v>
      </c>
      <c r="R189" s="189">
        <v>0</v>
      </c>
      <c r="S189" s="15">
        <v>134</v>
      </c>
      <c r="T189" s="190">
        <v>0</v>
      </c>
      <c r="U189" s="15">
        <f t="shared" si="11"/>
        <v>134</v>
      </c>
      <c r="V189" s="16">
        <f t="shared" si="9"/>
        <v>0</v>
      </c>
      <c r="W189" s="16">
        <f>N189+O189-'додаток сесія_2024_2028_161 (2'!O188</f>
        <v>0</v>
      </c>
    </row>
    <row r="190" spans="1:23" s="17" customFormat="1" ht="41.25" hidden="1" customHeight="1" x14ac:dyDescent="0.2">
      <c r="A190" s="94"/>
      <c r="B190" s="92"/>
      <c r="C190" s="105" t="s">
        <v>420</v>
      </c>
      <c r="D190" s="106" t="s">
        <v>88</v>
      </c>
      <c r="E190" s="482"/>
      <c r="F190" s="337" t="s">
        <v>13</v>
      </c>
      <c r="G190" s="190">
        <v>0</v>
      </c>
      <c r="H190" s="190">
        <v>0</v>
      </c>
      <c r="I190" s="190">
        <v>0</v>
      </c>
      <c r="J190" s="190">
        <v>0</v>
      </c>
      <c r="K190" s="190">
        <v>0</v>
      </c>
      <c r="L190" s="189">
        <v>0</v>
      </c>
      <c r="M190" s="189">
        <v>0</v>
      </c>
      <c r="N190" s="15">
        <f t="shared" si="10"/>
        <v>0</v>
      </c>
      <c r="O190" s="190">
        <v>0</v>
      </c>
      <c r="P190" s="190">
        <v>0</v>
      </c>
      <c r="Q190" s="190">
        <v>0</v>
      </c>
      <c r="R190" s="189">
        <v>0</v>
      </c>
      <c r="S190" s="15">
        <v>196</v>
      </c>
      <c r="T190" s="190">
        <v>0</v>
      </c>
      <c r="U190" s="15">
        <f t="shared" si="11"/>
        <v>196</v>
      </c>
      <c r="V190" s="16">
        <f t="shared" si="9"/>
        <v>0</v>
      </c>
      <c r="W190" s="16">
        <f>N190+O190-'додаток сесія_2024_2028_161 (2'!O189</f>
        <v>0</v>
      </c>
    </row>
    <row r="191" spans="1:23" s="17" customFormat="1" ht="43.5" hidden="1" customHeight="1" x14ac:dyDescent="0.2">
      <c r="A191" s="94"/>
      <c r="B191" s="92"/>
      <c r="C191" s="105" t="s">
        <v>195</v>
      </c>
      <c r="D191" s="106" t="s">
        <v>88</v>
      </c>
      <c r="E191" s="482"/>
      <c r="F191" s="337" t="s">
        <v>13</v>
      </c>
      <c r="G191" s="190">
        <v>0</v>
      </c>
      <c r="H191" s="190">
        <v>0</v>
      </c>
      <c r="I191" s="190">
        <v>0</v>
      </c>
      <c r="J191" s="190">
        <v>0</v>
      </c>
      <c r="K191" s="190">
        <v>0</v>
      </c>
      <c r="L191" s="189">
        <v>0</v>
      </c>
      <c r="M191" s="189">
        <v>0</v>
      </c>
      <c r="N191" s="15">
        <f t="shared" si="10"/>
        <v>0</v>
      </c>
      <c r="O191" s="190">
        <v>0</v>
      </c>
      <c r="P191" s="190">
        <v>0</v>
      </c>
      <c r="Q191" s="190">
        <v>0</v>
      </c>
      <c r="R191" s="189">
        <v>0</v>
      </c>
      <c r="S191" s="15">
        <v>5600</v>
      </c>
      <c r="T191" s="190">
        <v>0</v>
      </c>
      <c r="U191" s="15">
        <f t="shared" si="11"/>
        <v>5600</v>
      </c>
      <c r="V191" s="16">
        <f t="shared" si="9"/>
        <v>0</v>
      </c>
      <c r="W191" s="16">
        <f>N191+O191-'додаток сесія_2024_2028_161 (2'!O190</f>
        <v>0</v>
      </c>
    </row>
    <row r="192" spans="1:23" s="17" customFormat="1" ht="46.5" hidden="1" customHeight="1" x14ac:dyDescent="0.2">
      <c r="A192" s="94"/>
      <c r="B192" s="92"/>
      <c r="C192" s="105" t="s">
        <v>415</v>
      </c>
      <c r="D192" s="106" t="s">
        <v>88</v>
      </c>
      <c r="E192" s="482"/>
      <c r="F192" s="337" t="s">
        <v>13</v>
      </c>
      <c r="G192" s="190">
        <v>0</v>
      </c>
      <c r="H192" s="190">
        <v>0</v>
      </c>
      <c r="I192" s="190">
        <v>0</v>
      </c>
      <c r="J192" s="190">
        <v>0</v>
      </c>
      <c r="K192" s="190">
        <v>0</v>
      </c>
      <c r="L192" s="189">
        <v>0</v>
      </c>
      <c r="M192" s="189">
        <v>0</v>
      </c>
      <c r="N192" s="15">
        <f t="shared" si="10"/>
        <v>0</v>
      </c>
      <c r="O192" s="190">
        <v>0</v>
      </c>
      <c r="P192" s="190">
        <v>0</v>
      </c>
      <c r="Q192" s="190">
        <v>0</v>
      </c>
      <c r="R192" s="189">
        <v>0</v>
      </c>
      <c r="S192" s="15">
        <v>3358</v>
      </c>
      <c r="T192" s="190">
        <v>0</v>
      </c>
      <c r="U192" s="15">
        <f t="shared" si="11"/>
        <v>3358</v>
      </c>
      <c r="V192" s="16">
        <f t="shared" si="9"/>
        <v>0</v>
      </c>
      <c r="W192" s="16">
        <f>N192+O192-'додаток сесія_2024_2028_161 (2'!O191</f>
        <v>0</v>
      </c>
    </row>
    <row r="193" spans="1:23" s="17" customFormat="1" ht="44.25" hidden="1" customHeight="1" x14ac:dyDescent="0.2">
      <c r="A193" s="94"/>
      <c r="B193" s="92"/>
      <c r="C193" s="105" t="s">
        <v>197</v>
      </c>
      <c r="D193" s="106" t="s">
        <v>88</v>
      </c>
      <c r="E193" s="482"/>
      <c r="F193" s="337" t="s">
        <v>13</v>
      </c>
      <c r="G193" s="190">
        <v>0</v>
      </c>
      <c r="H193" s="190">
        <v>0</v>
      </c>
      <c r="I193" s="190">
        <v>0</v>
      </c>
      <c r="J193" s="190">
        <v>0</v>
      </c>
      <c r="K193" s="190">
        <v>0</v>
      </c>
      <c r="L193" s="189">
        <v>0</v>
      </c>
      <c r="M193" s="189">
        <v>0</v>
      </c>
      <c r="N193" s="15">
        <f t="shared" si="10"/>
        <v>0</v>
      </c>
      <c r="O193" s="190">
        <v>0</v>
      </c>
      <c r="P193" s="190">
        <v>0</v>
      </c>
      <c r="Q193" s="190">
        <v>0</v>
      </c>
      <c r="R193" s="189">
        <v>0</v>
      </c>
      <c r="S193" s="189">
        <v>0</v>
      </c>
      <c r="T193" s="15">
        <v>300</v>
      </c>
      <c r="U193" s="15">
        <f t="shared" si="11"/>
        <v>300</v>
      </c>
      <c r="V193" s="16">
        <f t="shared" si="9"/>
        <v>0</v>
      </c>
      <c r="W193" s="16">
        <f>N193+O193-'додаток сесія_2024_2028_161 (2'!O192</f>
        <v>0</v>
      </c>
    </row>
    <row r="194" spans="1:23" s="17" customFormat="1" ht="181.5" hidden="1" customHeight="1" x14ac:dyDescent="0.2">
      <c r="A194" s="522">
        <v>2</v>
      </c>
      <c r="B194" s="520" t="s">
        <v>92</v>
      </c>
      <c r="C194" s="83" t="s">
        <v>441</v>
      </c>
      <c r="D194" s="521" t="s">
        <v>88</v>
      </c>
      <c r="E194" s="524" t="s">
        <v>442</v>
      </c>
      <c r="F194" s="337" t="s">
        <v>13</v>
      </c>
      <c r="G194" s="190">
        <v>0</v>
      </c>
      <c r="H194" s="190">
        <v>0</v>
      </c>
      <c r="I194" s="190">
        <v>0</v>
      </c>
      <c r="J194" s="190">
        <v>0</v>
      </c>
      <c r="K194" s="190">
        <v>0</v>
      </c>
      <c r="L194" s="189">
        <v>0</v>
      </c>
      <c r="M194" s="189">
        <v>0</v>
      </c>
      <c r="N194" s="15">
        <f t="shared" si="10"/>
        <v>0</v>
      </c>
      <c r="O194" s="190">
        <v>0</v>
      </c>
      <c r="P194" s="15">
        <f>800+2000</f>
        <v>2800</v>
      </c>
      <c r="Q194" s="190">
        <v>0</v>
      </c>
      <c r="R194" s="189">
        <v>0</v>
      </c>
      <c r="S194" s="189">
        <v>0</v>
      </c>
      <c r="T194" s="190">
        <v>0</v>
      </c>
      <c r="U194" s="15">
        <f t="shared" si="11"/>
        <v>2800</v>
      </c>
      <c r="V194" s="16">
        <f t="shared" si="9"/>
        <v>0</v>
      </c>
      <c r="W194" s="16">
        <f>N194+O194-'додаток сесія_2024_2028_161 (2'!O193</f>
        <v>0</v>
      </c>
    </row>
    <row r="195" spans="1:23" s="17" customFormat="1" ht="63" hidden="1" customHeight="1" x14ac:dyDescent="0.2">
      <c r="A195" s="94"/>
      <c r="B195" s="92"/>
      <c r="C195" s="518" t="s">
        <v>414</v>
      </c>
      <c r="D195" s="519" t="s">
        <v>88</v>
      </c>
      <c r="E195" s="482"/>
      <c r="F195" s="337" t="s">
        <v>13</v>
      </c>
      <c r="G195" s="190">
        <v>0</v>
      </c>
      <c r="H195" s="190">
        <v>0</v>
      </c>
      <c r="I195" s="190">
        <v>0</v>
      </c>
      <c r="J195" s="190">
        <v>0</v>
      </c>
      <c r="K195" s="190">
        <v>0</v>
      </c>
      <c r="L195" s="189">
        <v>0</v>
      </c>
      <c r="M195" s="189">
        <v>0</v>
      </c>
      <c r="N195" s="15">
        <f t="shared" si="10"/>
        <v>0</v>
      </c>
      <c r="O195" s="190">
        <v>0</v>
      </c>
      <c r="P195" s="190">
        <v>0</v>
      </c>
      <c r="Q195" s="15">
        <v>25000</v>
      </c>
      <c r="R195" s="189">
        <v>0</v>
      </c>
      <c r="S195" s="189">
        <v>0</v>
      </c>
      <c r="T195" s="190">
        <v>0</v>
      </c>
      <c r="U195" s="15">
        <f t="shared" si="11"/>
        <v>25000</v>
      </c>
      <c r="V195" s="16">
        <f t="shared" si="9"/>
        <v>0</v>
      </c>
      <c r="W195" s="16">
        <f>N195+O195-'додаток сесія_2024_2028_161 (2'!O194</f>
        <v>0</v>
      </c>
    </row>
    <row r="196" spans="1:23" s="17" customFormat="1" ht="48.75" hidden="1" customHeight="1" x14ac:dyDescent="0.2">
      <c r="A196" s="94"/>
      <c r="B196" s="92"/>
      <c r="C196" s="83" t="s">
        <v>434</v>
      </c>
      <c r="D196" s="106" t="s">
        <v>88</v>
      </c>
      <c r="E196" s="482"/>
      <c r="F196" s="337" t="s">
        <v>13</v>
      </c>
      <c r="G196" s="190">
        <v>0</v>
      </c>
      <c r="H196" s="190">
        <v>0</v>
      </c>
      <c r="I196" s="190">
        <v>0</v>
      </c>
      <c r="J196" s="190">
        <v>0</v>
      </c>
      <c r="K196" s="190">
        <v>0</v>
      </c>
      <c r="L196" s="189">
        <v>0</v>
      </c>
      <c r="M196" s="189">
        <v>0</v>
      </c>
      <c r="N196" s="15">
        <f t="shared" si="10"/>
        <v>0</v>
      </c>
      <c r="O196" s="190">
        <v>0</v>
      </c>
      <c r="P196" s="15">
        <v>2663.3</v>
      </c>
      <c r="Q196" s="190">
        <v>0</v>
      </c>
      <c r="R196" s="189">
        <v>0</v>
      </c>
      <c r="S196" s="189">
        <v>0</v>
      </c>
      <c r="T196" s="190">
        <v>0</v>
      </c>
      <c r="U196" s="15">
        <f t="shared" si="11"/>
        <v>2663.3</v>
      </c>
      <c r="V196" s="16">
        <f t="shared" si="9"/>
        <v>0</v>
      </c>
      <c r="W196" s="16">
        <f>N196+O196-'додаток сесія_2024_2028_161 (2'!O195</f>
        <v>0</v>
      </c>
    </row>
    <row r="197" spans="1:23" s="17" customFormat="1" ht="56.25" hidden="1" customHeight="1" x14ac:dyDescent="0.2">
      <c r="A197" s="94"/>
      <c r="B197" s="92"/>
      <c r="C197" s="85" t="s">
        <v>433</v>
      </c>
      <c r="D197" s="104" t="s">
        <v>88</v>
      </c>
      <c r="E197" s="482"/>
      <c r="F197" s="337" t="s">
        <v>13</v>
      </c>
      <c r="G197" s="190">
        <v>0</v>
      </c>
      <c r="H197" s="190">
        <v>0</v>
      </c>
      <c r="I197" s="190">
        <v>0</v>
      </c>
      <c r="J197" s="190">
        <v>0</v>
      </c>
      <c r="K197" s="190">
        <v>0</v>
      </c>
      <c r="L197" s="189">
        <v>0</v>
      </c>
      <c r="M197" s="189">
        <v>0</v>
      </c>
      <c r="N197" s="15">
        <f t="shared" si="10"/>
        <v>0</v>
      </c>
      <c r="O197" s="190">
        <v>0</v>
      </c>
      <c r="P197" s="190">
        <v>0</v>
      </c>
      <c r="Q197" s="15">
        <v>250000</v>
      </c>
      <c r="R197" s="189">
        <v>0</v>
      </c>
      <c r="S197" s="189">
        <v>0</v>
      </c>
      <c r="T197" s="190">
        <v>0</v>
      </c>
      <c r="U197" s="15">
        <f t="shared" si="11"/>
        <v>250000</v>
      </c>
      <c r="V197" s="16">
        <f t="shared" si="9"/>
        <v>0</v>
      </c>
      <c r="W197" s="16">
        <f>N197+O197-'додаток сесія_2024_2028_161 (2'!O196</f>
        <v>0</v>
      </c>
    </row>
    <row r="198" spans="1:23" s="17" customFormat="1" ht="43.5" hidden="1" customHeight="1" x14ac:dyDescent="0.2">
      <c r="A198" s="399"/>
      <c r="B198" s="400"/>
      <c r="C198" s="83" t="s">
        <v>432</v>
      </c>
      <c r="D198" s="394" t="s">
        <v>88</v>
      </c>
      <c r="E198" s="335"/>
      <c r="F198" s="337" t="s">
        <v>13</v>
      </c>
      <c r="G198" s="190">
        <v>0</v>
      </c>
      <c r="H198" s="190">
        <v>0</v>
      </c>
      <c r="I198" s="190">
        <v>0</v>
      </c>
      <c r="J198" s="190">
        <v>0</v>
      </c>
      <c r="K198" s="190">
        <v>0</v>
      </c>
      <c r="L198" s="189">
        <v>0</v>
      </c>
      <c r="M198" s="189">
        <v>0</v>
      </c>
      <c r="N198" s="15">
        <f t="shared" si="10"/>
        <v>0</v>
      </c>
      <c r="O198" s="190">
        <v>0</v>
      </c>
      <c r="P198" s="15">
        <v>100</v>
      </c>
      <c r="Q198" s="190">
        <v>0</v>
      </c>
      <c r="R198" s="189">
        <v>0</v>
      </c>
      <c r="S198" s="189">
        <v>0</v>
      </c>
      <c r="T198" s="190">
        <v>0</v>
      </c>
      <c r="U198" s="15">
        <f t="shared" si="11"/>
        <v>100</v>
      </c>
      <c r="V198" s="16">
        <f t="shared" si="9"/>
        <v>0</v>
      </c>
      <c r="W198" s="16">
        <f>N198+O198-'додаток сесія_2024_2028_161 (2'!O197</f>
        <v>0</v>
      </c>
    </row>
    <row r="199" spans="1:23" s="17" customFormat="1" ht="42.75" hidden="1" customHeight="1" x14ac:dyDescent="0.2">
      <c r="A199" s="94"/>
      <c r="B199" s="92"/>
      <c r="C199" s="374" t="s">
        <v>200</v>
      </c>
      <c r="D199" s="391" t="s">
        <v>88</v>
      </c>
      <c r="E199" s="92"/>
      <c r="F199" s="337" t="s">
        <v>13</v>
      </c>
      <c r="G199" s="190">
        <v>0</v>
      </c>
      <c r="H199" s="190">
        <v>0</v>
      </c>
      <c r="I199" s="190">
        <v>0</v>
      </c>
      <c r="J199" s="190">
        <v>0</v>
      </c>
      <c r="K199" s="190">
        <v>0</v>
      </c>
      <c r="L199" s="189">
        <v>0</v>
      </c>
      <c r="M199" s="189">
        <v>0</v>
      </c>
      <c r="N199" s="15">
        <f t="shared" si="10"/>
        <v>0</v>
      </c>
      <c r="O199" s="190">
        <v>0</v>
      </c>
      <c r="P199" s="15">
        <v>1950.5</v>
      </c>
      <c r="Q199" s="190">
        <v>0</v>
      </c>
      <c r="R199" s="189">
        <v>0</v>
      </c>
      <c r="S199" s="189">
        <v>0</v>
      </c>
      <c r="T199" s="190">
        <v>0</v>
      </c>
      <c r="U199" s="15">
        <f t="shared" si="11"/>
        <v>1950.5</v>
      </c>
      <c r="V199" s="16">
        <f t="shared" si="9"/>
        <v>0</v>
      </c>
      <c r="W199" s="16">
        <f>N199+O199-'додаток сесія_2024_2028_161 (2'!O198</f>
        <v>0</v>
      </c>
    </row>
    <row r="200" spans="1:23" s="17" customFormat="1" ht="72" hidden="1" customHeight="1" x14ac:dyDescent="0.2">
      <c r="A200" s="94"/>
      <c r="B200" s="92"/>
      <c r="C200" s="105" t="s">
        <v>421</v>
      </c>
      <c r="D200" s="106" t="s">
        <v>88</v>
      </c>
      <c r="E200" s="482"/>
      <c r="F200" s="337" t="s">
        <v>13</v>
      </c>
      <c r="G200" s="190">
        <v>0</v>
      </c>
      <c r="H200" s="190">
        <v>0</v>
      </c>
      <c r="I200" s="190">
        <v>0</v>
      </c>
      <c r="J200" s="190">
        <v>0</v>
      </c>
      <c r="K200" s="190">
        <v>0</v>
      </c>
      <c r="L200" s="189">
        <v>0</v>
      </c>
      <c r="M200" s="189">
        <v>0</v>
      </c>
      <c r="N200" s="15">
        <f t="shared" si="10"/>
        <v>0</v>
      </c>
      <c r="O200" s="190">
        <v>0</v>
      </c>
      <c r="P200" s="15">
        <v>0</v>
      </c>
      <c r="Q200" s="190">
        <v>120</v>
      </c>
      <c r="R200" s="189">
        <v>0</v>
      </c>
      <c r="S200" s="189">
        <v>0</v>
      </c>
      <c r="T200" s="190">
        <v>0</v>
      </c>
      <c r="U200" s="15">
        <f t="shared" si="11"/>
        <v>120</v>
      </c>
      <c r="V200" s="16">
        <f t="shared" si="9"/>
        <v>0</v>
      </c>
      <c r="W200" s="16">
        <f>N200+O200-'додаток сесія_2024_2028_161 (2'!O199</f>
        <v>0</v>
      </c>
    </row>
    <row r="201" spans="1:23" s="17" customFormat="1" ht="57" hidden="1" customHeight="1" x14ac:dyDescent="0.2">
      <c r="A201" s="94"/>
      <c r="B201" s="92"/>
      <c r="C201" s="105" t="s">
        <v>378</v>
      </c>
      <c r="D201" s="106" t="s">
        <v>88</v>
      </c>
      <c r="E201" s="482"/>
      <c r="F201" s="337" t="s">
        <v>13</v>
      </c>
      <c r="G201" s="190">
        <v>0</v>
      </c>
      <c r="H201" s="190">
        <v>0</v>
      </c>
      <c r="I201" s="190">
        <v>0</v>
      </c>
      <c r="J201" s="190">
        <v>0</v>
      </c>
      <c r="K201" s="190">
        <v>0</v>
      </c>
      <c r="L201" s="189">
        <v>0</v>
      </c>
      <c r="M201" s="189">
        <v>0</v>
      </c>
      <c r="N201" s="15">
        <f t="shared" si="10"/>
        <v>0</v>
      </c>
      <c r="O201" s="190">
        <v>0</v>
      </c>
      <c r="P201" s="15">
        <v>0</v>
      </c>
      <c r="Q201" s="190">
        <v>2280</v>
      </c>
      <c r="R201" s="189">
        <v>0</v>
      </c>
      <c r="S201" s="189">
        <v>0</v>
      </c>
      <c r="T201" s="190">
        <v>0</v>
      </c>
      <c r="U201" s="15">
        <f t="shared" si="11"/>
        <v>2280</v>
      </c>
      <c r="V201" s="16">
        <f t="shared" si="9"/>
        <v>0</v>
      </c>
      <c r="W201" s="16">
        <f>N201+O201-'додаток сесія_2024_2028_161 (2'!O200</f>
        <v>0</v>
      </c>
    </row>
    <row r="202" spans="1:23" s="17" customFormat="1" ht="69" hidden="1" customHeight="1" x14ac:dyDescent="0.2">
      <c r="A202" s="94"/>
      <c r="B202" s="92"/>
      <c r="C202" s="105" t="s">
        <v>436</v>
      </c>
      <c r="D202" s="106" t="s">
        <v>88</v>
      </c>
      <c r="E202" s="482"/>
      <c r="F202" s="337" t="s">
        <v>13</v>
      </c>
      <c r="G202" s="190">
        <v>0</v>
      </c>
      <c r="H202" s="190">
        <v>0</v>
      </c>
      <c r="I202" s="190">
        <v>0</v>
      </c>
      <c r="J202" s="190">
        <v>0</v>
      </c>
      <c r="K202" s="190">
        <v>0</v>
      </c>
      <c r="L202" s="189">
        <v>0</v>
      </c>
      <c r="M202" s="189">
        <v>0</v>
      </c>
      <c r="N202" s="15">
        <f t="shared" si="10"/>
        <v>0</v>
      </c>
      <c r="O202" s="190">
        <v>0</v>
      </c>
      <c r="P202" s="15">
        <v>0</v>
      </c>
      <c r="Q202" s="190">
        <v>120</v>
      </c>
      <c r="R202" s="189">
        <v>0</v>
      </c>
      <c r="S202" s="189">
        <v>0</v>
      </c>
      <c r="T202" s="190">
        <v>0</v>
      </c>
      <c r="U202" s="15">
        <f t="shared" si="11"/>
        <v>120</v>
      </c>
      <c r="V202" s="16">
        <f t="shared" si="9"/>
        <v>0</v>
      </c>
      <c r="W202" s="16">
        <f>N202+O202-'додаток сесія_2024_2028_161 (2'!O201</f>
        <v>0</v>
      </c>
    </row>
    <row r="203" spans="1:23" s="17" customFormat="1" ht="69" hidden="1" customHeight="1" x14ac:dyDescent="0.2">
      <c r="A203" s="94"/>
      <c r="B203" s="92"/>
      <c r="C203" s="105" t="s">
        <v>393</v>
      </c>
      <c r="D203" s="106" t="s">
        <v>88</v>
      </c>
      <c r="E203" s="482"/>
      <c r="F203" s="337" t="s">
        <v>13</v>
      </c>
      <c r="G203" s="190">
        <v>0</v>
      </c>
      <c r="H203" s="190">
        <v>0</v>
      </c>
      <c r="I203" s="190">
        <v>0</v>
      </c>
      <c r="J203" s="190">
        <v>0</v>
      </c>
      <c r="K203" s="190">
        <v>0</v>
      </c>
      <c r="L203" s="189">
        <v>0</v>
      </c>
      <c r="M203" s="189">
        <v>0</v>
      </c>
      <c r="N203" s="15">
        <f t="shared" si="10"/>
        <v>0</v>
      </c>
      <c r="O203" s="190">
        <v>0</v>
      </c>
      <c r="P203" s="15">
        <v>0</v>
      </c>
      <c r="Q203" s="190">
        <v>2380</v>
      </c>
      <c r="R203" s="189">
        <v>0</v>
      </c>
      <c r="S203" s="189">
        <v>0</v>
      </c>
      <c r="T203" s="190">
        <v>0</v>
      </c>
      <c r="U203" s="15">
        <f t="shared" si="11"/>
        <v>2380</v>
      </c>
      <c r="V203" s="16">
        <f t="shared" si="9"/>
        <v>0</v>
      </c>
      <c r="W203" s="16">
        <f>N203+O203-'додаток сесія_2024_2028_161 (2'!O202</f>
        <v>0</v>
      </c>
    </row>
    <row r="204" spans="1:23" s="17" customFormat="1" ht="56.25" hidden="1" customHeight="1" x14ac:dyDescent="0.2">
      <c r="A204" s="94"/>
      <c r="B204" s="92"/>
      <c r="C204" s="105" t="s">
        <v>428</v>
      </c>
      <c r="D204" s="106" t="s">
        <v>88</v>
      </c>
      <c r="E204" s="482"/>
      <c r="F204" s="337" t="s">
        <v>13</v>
      </c>
      <c r="G204" s="190">
        <v>0</v>
      </c>
      <c r="H204" s="190">
        <v>0</v>
      </c>
      <c r="I204" s="190">
        <v>0</v>
      </c>
      <c r="J204" s="190">
        <v>0</v>
      </c>
      <c r="K204" s="190">
        <v>0</v>
      </c>
      <c r="L204" s="189">
        <v>0</v>
      </c>
      <c r="M204" s="189">
        <v>0</v>
      </c>
      <c r="N204" s="15">
        <f t="shared" si="10"/>
        <v>0</v>
      </c>
      <c r="O204" s="190">
        <v>0</v>
      </c>
      <c r="P204" s="189">
        <v>0</v>
      </c>
      <c r="Q204" s="190">
        <v>0</v>
      </c>
      <c r="R204" s="189">
        <v>370</v>
      </c>
      <c r="S204" s="189">
        <v>0</v>
      </c>
      <c r="T204" s="190">
        <v>0</v>
      </c>
      <c r="U204" s="15">
        <f t="shared" si="11"/>
        <v>370</v>
      </c>
      <c r="V204" s="16">
        <f t="shared" si="9"/>
        <v>0</v>
      </c>
      <c r="W204" s="16">
        <f>N204+O204-'додаток сесія_2024_2028_161 (2'!O203</f>
        <v>0</v>
      </c>
    </row>
    <row r="205" spans="1:23" s="17" customFormat="1" ht="56.25" hidden="1" customHeight="1" x14ac:dyDescent="0.2">
      <c r="A205" s="94"/>
      <c r="B205" s="92"/>
      <c r="C205" s="83" t="s">
        <v>435</v>
      </c>
      <c r="D205" s="106" t="s">
        <v>88</v>
      </c>
      <c r="E205" s="482"/>
      <c r="F205" s="337" t="s">
        <v>13</v>
      </c>
      <c r="G205" s="190">
        <v>0</v>
      </c>
      <c r="H205" s="190">
        <v>0</v>
      </c>
      <c r="I205" s="190">
        <v>0</v>
      </c>
      <c r="J205" s="190">
        <v>0</v>
      </c>
      <c r="K205" s="190">
        <v>0</v>
      </c>
      <c r="L205" s="189">
        <v>0</v>
      </c>
      <c r="M205" s="189">
        <v>0</v>
      </c>
      <c r="N205" s="15">
        <f t="shared" si="10"/>
        <v>0</v>
      </c>
      <c r="O205" s="190">
        <v>0</v>
      </c>
      <c r="P205" s="189">
        <v>0</v>
      </c>
      <c r="Q205" s="190">
        <v>0</v>
      </c>
      <c r="R205" s="15">
        <v>10622.3</v>
      </c>
      <c r="S205" s="189">
        <v>0</v>
      </c>
      <c r="T205" s="190">
        <v>0</v>
      </c>
      <c r="U205" s="15">
        <f t="shared" si="11"/>
        <v>10622.3</v>
      </c>
      <c r="V205" s="16">
        <f t="shared" ref="V205:V245" si="12">G205+H205+I205+J205+K205+L205+M205+O205+P205+Q205+R205+S205+T205-U205</f>
        <v>0</v>
      </c>
      <c r="W205" s="16">
        <f>N205+O205-'додаток сесія_2024_2028_161 (2'!O204</f>
        <v>0</v>
      </c>
    </row>
    <row r="206" spans="1:23" s="17" customFormat="1" ht="56.25" hidden="1" customHeight="1" x14ac:dyDescent="0.2">
      <c r="A206" s="94"/>
      <c r="B206" s="92"/>
      <c r="C206" s="85" t="s">
        <v>422</v>
      </c>
      <c r="D206" s="104" t="s">
        <v>88</v>
      </c>
      <c r="E206" s="482"/>
      <c r="F206" s="337" t="s">
        <v>13</v>
      </c>
      <c r="G206" s="190">
        <v>0</v>
      </c>
      <c r="H206" s="190">
        <v>0</v>
      </c>
      <c r="I206" s="190">
        <v>0</v>
      </c>
      <c r="J206" s="190">
        <v>0</v>
      </c>
      <c r="K206" s="190">
        <v>0</v>
      </c>
      <c r="L206" s="189">
        <v>0</v>
      </c>
      <c r="M206" s="189">
        <v>0</v>
      </c>
      <c r="N206" s="15">
        <f t="shared" ref="N206:N243" si="13">G206+H206+I206+J206+K206+L206+M206</f>
        <v>0</v>
      </c>
      <c r="O206" s="190">
        <v>0</v>
      </c>
      <c r="P206" s="189">
        <v>0</v>
      </c>
      <c r="Q206" s="190">
        <v>0</v>
      </c>
      <c r="R206" s="189">
        <v>0</v>
      </c>
      <c r="S206" s="189">
        <v>265</v>
      </c>
      <c r="T206" s="190">
        <v>0</v>
      </c>
      <c r="U206" s="15">
        <f t="shared" si="11"/>
        <v>265</v>
      </c>
      <c r="V206" s="16">
        <f t="shared" si="12"/>
        <v>0</v>
      </c>
      <c r="W206" s="16">
        <f>N206+O206-'додаток сесія_2024_2028_161 (2'!O205</f>
        <v>0</v>
      </c>
    </row>
    <row r="207" spans="1:23" s="17" customFormat="1" ht="55.5" hidden="1" customHeight="1" x14ac:dyDescent="0.2">
      <c r="A207" s="94"/>
      <c r="B207" s="92"/>
      <c r="C207" s="105" t="s">
        <v>423</v>
      </c>
      <c r="D207" s="106" t="s">
        <v>88</v>
      </c>
      <c r="E207" s="482"/>
      <c r="F207" s="337" t="s">
        <v>13</v>
      </c>
      <c r="G207" s="190">
        <v>0</v>
      </c>
      <c r="H207" s="190">
        <v>0</v>
      </c>
      <c r="I207" s="190">
        <v>0</v>
      </c>
      <c r="J207" s="190">
        <v>0</v>
      </c>
      <c r="K207" s="190">
        <v>0</v>
      </c>
      <c r="L207" s="189">
        <v>0</v>
      </c>
      <c r="M207" s="189">
        <v>0</v>
      </c>
      <c r="N207" s="15">
        <f t="shared" si="13"/>
        <v>0</v>
      </c>
      <c r="O207" s="190">
        <v>0</v>
      </c>
      <c r="P207" s="189">
        <v>0</v>
      </c>
      <c r="Q207" s="190">
        <v>0</v>
      </c>
      <c r="R207" s="189">
        <v>0</v>
      </c>
      <c r="S207" s="189">
        <v>0</v>
      </c>
      <c r="T207" s="189">
        <v>770</v>
      </c>
      <c r="U207" s="15">
        <f t="shared" si="11"/>
        <v>770</v>
      </c>
      <c r="V207" s="16">
        <f t="shared" si="12"/>
        <v>0</v>
      </c>
      <c r="W207" s="16">
        <f>N207+O207-'додаток сесія_2024_2028_161 (2'!O206</f>
        <v>0</v>
      </c>
    </row>
    <row r="208" spans="1:23" s="17" customFormat="1" ht="42" hidden="1" customHeight="1" x14ac:dyDescent="0.2">
      <c r="A208" s="94"/>
      <c r="B208" s="92"/>
      <c r="C208" s="105" t="s">
        <v>424</v>
      </c>
      <c r="D208" s="106" t="s">
        <v>88</v>
      </c>
      <c r="E208" s="482"/>
      <c r="F208" s="337" t="s">
        <v>13</v>
      </c>
      <c r="G208" s="190">
        <v>0</v>
      </c>
      <c r="H208" s="190">
        <v>0</v>
      </c>
      <c r="I208" s="190">
        <v>0</v>
      </c>
      <c r="J208" s="190">
        <v>0</v>
      </c>
      <c r="K208" s="190">
        <v>0</v>
      </c>
      <c r="L208" s="189">
        <v>0</v>
      </c>
      <c r="M208" s="189">
        <v>0</v>
      </c>
      <c r="N208" s="15">
        <f t="shared" si="13"/>
        <v>0</v>
      </c>
      <c r="O208" s="190">
        <v>0</v>
      </c>
      <c r="P208" s="189">
        <v>0</v>
      </c>
      <c r="Q208" s="190">
        <v>0</v>
      </c>
      <c r="R208" s="190">
        <v>0</v>
      </c>
      <c r="S208" s="15">
        <v>845</v>
      </c>
      <c r="T208" s="190">
        <v>0</v>
      </c>
      <c r="U208" s="15">
        <f t="shared" si="11"/>
        <v>845</v>
      </c>
      <c r="V208" s="16">
        <f t="shared" si="12"/>
        <v>0</v>
      </c>
      <c r="W208" s="16">
        <f>N208+O208-'додаток сесія_2024_2028_161 (2'!O207</f>
        <v>0</v>
      </c>
    </row>
    <row r="209" spans="1:23" s="17" customFormat="1" ht="41.25" hidden="1" customHeight="1" x14ac:dyDescent="0.2">
      <c r="A209" s="94"/>
      <c r="B209" s="92"/>
      <c r="C209" s="105" t="s">
        <v>380</v>
      </c>
      <c r="D209" s="106" t="s">
        <v>88</v>
      </c>
      <c r="E209" s="482"/>
      <c r="F209" s="337" t="s">
        <v>13</v>
      </c>
      <c r="G209" s="190">
        <v>0</v>
      </c>
      <c r="H209" s="190">
        <v>0</v>
      </c>
      <c r="I209" s="190">
        <v>0</v>
      </c>
      <c r="J209" s="190">
        <v>0</v>
      </c>
      <c r="K209" s="190">
        <v>0</v>
      </c>
      <c r="L209" s="189">
        <v>0</v>
      </c>
      <c r="M209" s="189">
        <v>0</v>
      </c>
      <c r="N209" s="15">
        <f t="shared" si="13"/>
        <v>0</v>
      </c>
      <c r="O209" s="190">
        <v>0</v>
      </c>
      <c r="P209" s="189">
        <v>0</v>
      </c>
      <c r="Q209" s="190">
        <v>0</v>
      </c>
      <c r="R209" s="190">
        <v>0</v>
      </c>
      <c r="S209" s="15">
        <v>1340</v>
      </c>
      <c r="T209" s="190">
        <v>0</v>
      </c>
      <c r="U209" s="15">
        <f t="shared" si="11"/>
        <v>1340</v>
      </c>
      <c r="V209" s="16">
        <f t="shared" si="12"/>
        <v>0</v>
      </c>
      <c r="W209" s="16">
        <f>N209+O209-'додаток сесія_2024_2028_161 (2'!O208</f>
        <v>0</v>
      </c>
    </row>
    <row r="210" spans="1:23" s="17" customFormat="1" ht="41.25" hidden="1" customHeight="1" x14ac:dyDescent="0.2">
      <c r="A210" s="94"/>
      <c r="B210" s="92"/>
      <c r="C210" s="105" t="s">
        <v>381</v>
      </c>
      <c r="D210" s="106" t="s">
        <v>88</v>
      </c>
      <c r="E210" s="482"/>
      <c r="F210" s="337" t="s">
        <v>13</v>
      </c>
      <c r="G210" s="190">
        <v>0</v>
      </c>
      <c r="H210" s="190">
        <v>0</v>
      </c>
      <c r="I210" s="190">
        <v>0</v>
      </c>
      <c r="J210" s="190">
        <v>0</v>
      </c>
      <c r="K210" s="190">
        <v>0</v>
      </c>
      <c r="L210" s="189">
        <v>0</v>
      </c>
      <c r="M210" s="189">
        <v>0</v>
      </c>
      <c r="N210" s="15">
        <f t="shared" si="13"/>
        <v>0</v>
      </c>
      <c r="O210" s="190">
        <v>0</v>
      </c>
      <c r="P210" s="189">
        <v>0</v>
      </c>
      <c r="Q210" s="190">
        <v>0</v>
      </c>
      <c r="R210" s="190">
        <v>0</v>
      </c>
      <c r="S210" s="190">
        <v>0</v>
      </c>
      <c r="T210" s="15">
        <v>890</v>
      </c>
      <c r="U210" s="15">
        <f t="shared" ref="U210:U215" si="14">SUM(G210:T210)-N210</f>
        <v>890</v>
      </c>
      <c r="V210" s="16">
        <f t="shared" si="12"/>
        <v>0</v>
      </c>
      <c r="W210" s="16">
        <f>N210+O210-'додаток сесія_2024_2028_161 (2'!O209</f>
        <v>0</v>
      </c>
    </row>
    <row r="211" spans="1:23" s="17" customFormat="1" ht="46.5" hidden="1" customHeight="1" x14ac:dyDescent="0.2">
      <c r="A211" s="94"/>
      <c r="B211" s="92"/>
      <c r="C211" s="105" t="s">
        <v>382</v>
      </c>
      <c r="D211" s="106" t="s">
        <v>88</v>
      </c>
      <c r="E211" s="482"/>
      <c r="F211" s="337" t="s">
        <v>13</v>
      </c>
      <c r="G211" s="190">
        <v>0</v>
      </c>
      <c r="H211" s="190">
        <v>0</v>
      </c>
      <c r="I211" s="190">
        <v>0</v>
      </c>
      <c r="J211" s="190">
        <v>0</v>
      </c>
      <c r="K211" s="190">
        <v>0</v>
      </c>
      <c r="L211" s="189">
        <v>0</v>
      </c>
      <c r="M211" s="189">
        <v>0</v>
      </c>
      <c r="N211" s="15">
        <f t="shared" si="13"/>
        <v>0</v>
      </c>
      <c r="O211" s="190">
        <v>0</v>
      </c>
      <c r="P211" s="189">
        <v>0</v>
      </c>
      <c r="Q211" s="190">
        <v>0</v>
      </c>
      <c r="R211" s="190">
        <v>0</v>
      </c>
      <c r="S211" s="190">
        <v>0</v>
      </c>
      <c r="T211" s="15">
        <v>2460</v>
      </c>
      <c r="U211" s="15">
        <f t="shared" si="14"/>
        <v>2460</v>
      </c>
      <c r="V211" s="16">
        <f t="shared" si="12"/>
        <v>0</v>
      </c>
      <c r="W211" s="16">
        <f>N211+O211-'додаток сесія_2024_2028_161 (2'!O210</f>
        <v>0</v>
      </c>
    </row>
    <row r="212" spans="1:23" s="17" customFormat="1" ht="57" hidden="1" customHeight="1" x14ac:dyDescent="0.2">
      <c r="A212" s="94"/>
      <c r="B212" s="92"/>
      <c r="C212" s="105" t="s">
        <v>425</v>
      </c>
      <c r="D212" s="106" t="s">
        <v>88</v>
      </c>
      <c r="E212" s="482"/>
      <c r="F212" s="337" t="s">
        <v>13</v>
      </c>
      <c r="G212" s="190">
        <v>0</v>
      </c>
      <c r="H212" s="190">
        <v>0</v>
      </c>
      <c r="I212" s="190">
        <v>0</v>
      </c>
      <c r="J212" s="190">
        <v>0</v>
      </c>
      <c r="K212" s="190">
        <v>0</v>
      </c>
      <c r="L212" s="189">
        <v>0</v>
      </c>
      <c r="M212" s="189">
        <v>0</v>
      </c>
      <c r="N212" s="15">
        <f t="shared" si="13"/>
        <v>0</v>
      </c>
      <c r="O212" s="190">
        <v>0</v>
      </c>
      <c r="P212" s="189">
        <v>0</v>
      </c>
      <c r="Q212" s="190">
        <v>0</v>
      </c>
      <c r="R212" s="15">
        <v>930</v>
      </c>
      <c r="S212" s="189">
        <v>0</v>
      </c>
      <c r="T212" s="190">
        <v>0</v>
      </c>
      <c r="U212" s="15">
        <f t="shared" si="14"/>
        <v>930</v>
      </c>
      <c r="V212" s="16">
        <f t="shared" si="12"/>
        <v>0</v>
      </c>
      <c r="W212" s="16">
        <f>N212+O212-'додаток сесія_2024_2028_161 (2'!O211</f>
        <v>0</v>
      </c>
    </row>
    <row r="213" spans="1:23" s="17" customFormat="1" ht="69.75" hidden="1" customHeight="1" x14ac:dyDescent="0.2">
      <c r="A213" s="94"/>
      <c r="B213" s="92"/>
      <c r="C213" s="105" t="s">
        <v>426</v>
      </c>
      <c r="D213" s="106" t="s">
        <v>88</v>
      </c>
      <c r="E213" s="482"/>
      <c r="F213" s="337" t="s">
        <v>13</v>
      </c>
      <c r="G213" s="190">
        <v>0</v>
      </c>
      <c r="H213" s="190">
        <v>0</v>
      </c>
      <c r="I213" s="190">
        <v>0</v>
      </c>
      <c r="J213" s="190">
        <v>0</v>
      </c>
      <c r="K213" s="190">
        <v>0</v>
      </c>
      <c r="L213" s="189">
        <v>0</v>
      </c>
      <c r="M213" s="189">
        <v>0</v>
      </c>
      <c r="N213" s="15">
        <f t="shared" si="13"/>
        <v>0</v>
      </c>
      <c r="O213" s="190">
        <v>0</v>
      </c>
      <c r="P213" s="189">
        <v>0</v>
      </c>
      <c r="Q213" s="190">
        <v>0</v>
      </c>
      <c r="R213" s="190">
        <v>0</v>
      </c>
      <c r="S213" s="15">
        <v>9500</v>
      </c>
      <c r="T213" s="190">
        <v>0</v>
      </c>
      <c r="U213" s="15">
        <f t="shared" si="14"/>
        <v>9500</v>
      </c>
      <c r="V213" s="16">
        <f t="shared" si="12"/>
        <v>0</v>
      </c>
      <c r="W213" s="16">
        <f>N213+O213-'додаток сесія_2024_2028_161 (2'!O212</f>
        <v>0</v>
      </c>
    </row>
    <row r="214" spans="1:23" s="17" customFormat="1" ht="56.25" hidden="1" customHeight="1" x14ac:dyDescent="0.2">
      <c r="A214" s="399"/>
      <c r="B214" s="400"/>
      <c r="C214" s="83" t="s">
        <v>427</v>
      </c>
      <c r="D214" s="394" t="s">
        <v>88</v>
      </c>
      <c r="E214" s="335"/>
      <c r="F214" s="337" t="s">
        <v>13</v>
      </c>
      <c r="G214" s="190">
        <v>0</v>
      </c>
      <c r="H214" s="190">
        <v>0</v>
      </c>
      <c r="I214" s="190">
        <v>0</v>
      </c>
      <c r="J214" s="190">
        <v>0</v>
      </c>
      <c r="K214" s="190">
        <v>0</v>
      </c>
      <c r="L214" s="189">
        <v>0</v>
      </c>
      <c r="M214" s="189">
        <v>0</v>
      </c>
      <c r="N214" s="15">
        <f t="shared" si="13"/>
        <v>0</v>
      </c>
      <c r="O214" s="190">
        <v>0</v>
      </c>
      <c r="P214" s="189">
        <v>0</v>
      </c>
      <c r="Q214" s="190">
        <v>0</v>
      </c>
      <c r="R214" s="190">
        <v>0</v>
      </c>
      <c r="S214" s="15">
        <v>980</v>
      </c>
      <c r="T214" s="190">
        <v>0</v>
      </c>
      <c r="U214" s="15">
        <f t="shared" si="14"/>
        <v>980</v>
      </c>
      <c r="V214" s="16">
        <f t="shared" si="12"/>
        <v>0</v>
      </c>
      <c r="W214" s="16">
        <f>N214+O214-'додаток сесія_2024_2028_161 (2'!O213</f>
        <v>0</v>
      </c>
    </row>
    <row r="215" spans="1:23" s="17" customFormat="1" ht="70.5" hidden="1" customHeight="1" x14ac:dyDescent="0.2">
      <c r="A215" s="334"/>
      <c r="B215" s="335"/>
      <c r="C215" s="374" t="s">
        <v>385</v>
      </c>
      <c r="D215" s="391" t="s">
        <v>88</v>
      </c>
      <c r="E215" s="490"/>
      <c r="F215" s="337" t="s">
        <v>13</v>
      </c>
      <c r="G215" s="190">
        <v>0</v>
      </c>
      <c r="H215" s="190">
        <v>0</v>
      </c>
      <c r="I215" s="190">
        <v>0</v>
      </c>
      <c r="J215" s="190">
        <v>0</v>
      </c>
      <c r="K215" s="190">
        <v>0</v>
      </c>
      <c r="L215" s="189">
        <v>0</v>
      </c>
      <c r="M215" s="189">
        <v>0</v>
      </c>
      <c r="N215" s="15">
        <f t="shared" si="13"/>
        <v>0</v>
      </c>
      <c r="O215" s="190">
        <v>0</v>
      </c>
      <c r="P215" s="189">
        <v>0</v>
      </c>
      <c r="Q215" s="190">
        <v>0</v>
      </c>
      <c r="R215" s="189">
        <v>0</v>
      </c>
      <c r="S215" s="190">
        <v>0</v>
      </c>
      <c r="T215" s="15">
        <v>10050</v>
      </c>
      <c r="U215" s="15">
        <f t="shared" si="14"/>
        <v>10050</v>
      </c>
      <c r="V215" s="16">
        <f t="shared" si="12"/>
        <v>0</v>
      </c>
      <c r="W215" s="16">
        <f>N215+O215-'додаток сесія_2024_2028_161 (2'!O214</f>
        <v>0</v>
      </c>
    </row>
    <row r="216" spans="1:23" s="17" customFormat="1" ht="45.75" hidden="1" customHeight="1" x14ac:dyDescent="0.2">
      <c r="A216" s="94"/>
      <c r="B216" s="92"/>
      <c r="C216" s="105" t="s">
        <v>208</v>
      </c>
      <c r="D216" s="106" t="s">
        <v>88</v>
      </c>
      <c r="E216" s="482"/>
      <c r="F216" s="337" t="s">
        <v>13</v>
      </c>
      <c r="G216" s="190">
        <v>0</v>
      </c>
      <c r="H216" s="190">
        <v>0</v>
      </c>
      <c r="I216" s="190">
        <v>0</v>
      </c>
      <c r="J216" s="190">
        <v>0</v>
      </c>
      <c r="K216" s="190">
        <v>0</v>
      </c>
      <c r="L216" s="189">
        <v>0</v>
      </c>
      <c r="M216" s="189">
        <v>0</v>
      </c>
      <c r="N216" s="15">
        <f t="shared" si="13"/>
        <v>0</v>
      </c>
      <c r="O216" s="190">
        <v>0</v>
      </c>
      <c r="P216" s="15">
        <v>619</v>
      </c>
      <c r="Q216" s="190">
        <v>0</v>
      </c>
      <c r="R216" s="190">
        <v>0</v>
      </c>
      <c r="S216" s="189">
        <v>0</v>
      </c>
      <c r="T216" s="189">
        <v>0</v>
      </c>
      <c r="U216" s="15">
        <f>SUM(G216:T216)-N216</f>
        <v>619</v>
      </c>
      <c r="V216" s="16">
        <f t="shared" si="12"/>
        <v>0</v>
      </c>
      <c r="W216" s="16">
        <f>N216+O216-'додаток сесія_2024_2028_161 (2'!O215</f>
        <v>0</v>
      </c>
    </row>
    <row r="217" spans="1:23" ht="36.75" hidden="1" customHeight="1" x14ac:dyDescent="0.2">
      <c r="A217" s="569" t="s">
        <v>91</v>
      </c>
      <c r="B217" s="570"/>
      <c r="C217" s="571"/>
      <c r="D217" s="572"/>
      <c r="E217" s="573"/>
      <c r="F217" s="489" t="s">
        <v>124</v>
      </c>
      <c r="G217" s="191">
        <f>SUM(G81:G170)</f>
        <v>138423.32</v>
      </c>
      <c r="H217" s="191">
        <f>SUM(H81:H170)</f>
        <v>204758.1</v>
      </c>
      <c r="I217" s="191">
        <f>SUM(I81:I170)</f>
        <v>220709</v>
      </c>
      <c r="J217" s="191">
        <f t="shared" ref="J217:U217" si="15">SUM(J81:J216)</f>
        <v>313192.90000000002</v>
      </c>
      <c r="K217" s="191">
        <f t="shared" si="15"/>
        <v>421613.6</v>
      </c>
      <c r="L217" s="191">
        <f t="shared" si="15"/>
        <v>1308589.8</v>
      </c>
      <c r="M217" s="191">
        <f t="shared" si="15"/>
        <v>1406025</v>
      </c>
      <c r="N217" s="191">
        <f t="shared" si="15"/>
        <v>4013311.72</v>
      </c>
      <c r="O217" s="191">
        <f t="shared" si="15"/>
        <v>1203878.7</v>
      </c>
      <c r="P217" s="191">
        <f t="shared" si="15"/>
        <v>799633.3</v>
      </c>
      <c r="Q217" s="191">
        <f t="shared" si="15"/>
        <v>1555427.01</v>
      </c>
      <c r="R217" s="191">
        <f t="shared" si="15"/>
        <v>1165102.8155799999</v>
      </c>
      <c r="S217" s="191">
        <f t="shared" si="15"/>
        <v>1309785.47828364</v>
      </c>
      <c r="T217" s="191">
        <f t="shared" si="15"/>
        <v>1420277.1948240912</v>
      </c>
      <c r="U217" s="191">
        <f t="shared" si="15"/>
        <v>11467416.218687735</v>
      </c>
      <c r="V217" s="107">
        <f t="shared" si="12"/>
        <v>0</v>
      </c>
      <c r="W217" s="16">
        <f>N217+O217-'додаток сесія_2024_2028_161 (2'!O216</f>
        <v>0</v>
      </c>
    </row>
    <row r="218" spans="1:23" ht="52.5" hidden="1" customHeight="1" x14ac:dyDescent="0.2">
      <c r="A218" s="532">
        <v>3</v>
      </c>
      <c r="B218" s="559" t="s">
        <v>209</v>
      </c>
      <c r="C218" s="109" t="s">
        <v>210</v>
      </c>
      <c r="D218" s="110" t="s">
        <v>61</v>
      </c>
      <c r="E218" s="561" t="s">
        <v>211</v>
      </c>
      <c r="F218" s="143" t="s">
        <v>13</v>
      </c>
      <c r="G218" s="115">
        <v>0</v>
      </c>
      <c r="H218" s="115">
        <v>0</v>
      </c>
      <c r="I218" s="115">
        <v>0</v>
      </c>
      <c r="J218" s="115">
        <v>4059.9</v>
      </c>
      <c r="K218" s="115">
        <v>20246.5</v>
      </c>
      <c r="L218" s="115">
        <v>48490</v>
      </c>
      <c r="M218" s="115">
        <v>51250</v>
      </c>
      <c r="N218" s="15">
        <f t="shared" si="13"/>
        <v>124046.39999999999</v>
      </c>
      <c r="O218" s="115">
        <f>53650-10623.9</f>
        <v>43026.1</v>
      </c>
      <c r="P218" s="115">
        <v>0</v>
      </c>
      <c r="Q218" s="115">
        <v>0</v>
      </c>
      <c r="R218" s="115">
        <v>0</v>
      </c>
      <c r="S218" s="115">
        <v>0</v>
      </c>
      <c r="T218" s="115">
        <v>0</v>
      </c>
      <c r="U218" s="115">
        <f>SUM(G218:T218)-N218</f>
        <v>167072.49999999997</v>
      </c>
      <c r="V218" s="107">
        <f t="shared" si="12"/>
        <v>0</v>
      </c>
      <c r="W218" s="16">
        <f>N218+O218-'додаток сесія_2024_2028_161 (2'!O217</f>
        <v>0</v>
      </c>
    </row>
    <row r="219" spans="1:23" ht="44.25" hidden="1" customHeight="1" x14ac:dyDescent="0.2">
      <c r="A219" s="533"/>
      <c r="B219" s="560"/>
      <c r="C219" s="113" t="s">
        <v>212</v>
      </c>
      <c r="D219" s="114" t="s">
        <v>71</v>
      </c>
      <c r="E219" s="562"/>
      <c r="F219" s="293" t="s">
        <v>213</v>
      </c>
      <c r="G219" s="115">
        <v>0</v>
      </c>
      <c r="H219" s="115">
        <v>0</v>
      </c>
      <c r="I219" s="115">
        <v>0</v>
      </c>
      <c r="J219" s="115">
        <v>0</v>
      </c>
      <c r="K219" s="115">
        <v>0</v>
      </c>
      <c r="L219" s="115">
        <v>0</v>
      </c>
      <c r="M219" s="115"/>
      <c r="N219" s="15">
        <f t="shared" si="13"/>
        <v>0</v>
      </c>
      <c r="O219" s="115"/>
      <c r="P219" s="115"/>
      <c r="Q219" s="115"/>
      <c r="R219" s="115"/>
      <c r="S219" s="115"/>
      <c r="T219" s="115"/>
      <c r="U219" s="115" t="e">
        <f>SUM(G219:T219)-#REF!</f>
        <v>#REF!</v>
      </c>
      <c r="V219" s="107" t="e">
        <f t="shared" si="12"/>
        <v>#REF!</v>
      </c>
      <c r="W219" s="16">
        <f>N219+O219-'додаток сесія_2024_2028_161 (2'!O218</f>
        <v>0</v>
      </c>
    </row>
    <row r="220" spans="1:23" ht="44.25" hidden="1" customHeight="1" x14ac:dyDescent="0.2">
      <c r="A220" s="533"/>
      <c r="B220" s="560"/>
      <c r="C220" s="116" t="s">
        <v>214</v>
      </c>
      <c r="D220" s="114" t="s">
        <v>71</v>
      </c>
      <c r="E220" s="562"/>
      <c r="F220" s="293" t="s">
        <v>213</v>
      </c>
      <c r="G220" s="115">
        <v>0</v>
      </c>
      <c r="H220" s="115">
        <v>0</v>
      </c>
      <c r="I220" s="115">
        <v>0</v>
      </c>
      <c r="J220" s="115">
        <v>0</v>
      </c>
      <c r="K220" s="115">
        <v>0</v>
      </c>
      <c r="L220" s="115">
        <v>0</v>
      </c>
      <c r="M220" s="115"/>
      <c r="N220" s="15">
        <f t="shared" si="13"/>
        <v>0</v>
      </c>
      <c r="O220" s="115"/>
      <c r="P220" s="115"/>
      <c r="Q220" s="115"/>
      <c r="R220" s="115"/>
      <c r="S220" s="115"/>
      <c r="T220" s="115"/>
      <c r="U220" s="115" t="e">
        <f>SUM(G220:T220)-#REF!</f>
        <v>#REF!</v>
      </c>
      <c r="V220" s="107" t="e">
        <f t="shared" si="12"/>
        <v>#REF!</v>
      </c>
      <c r="W220" s="16">
        <f>N220+O220-'додаток сесія_2024_2028_161 (2'!O219</f>
        <v>0</v>
      </c>
    </row>
    <row r="221" spans="1:23" ht="45" hidden="1" customHeight="1" x14ac:dyDescent="0.2">
      <c r="A221" s="117"/>
      <c r="B221" s="560"/>
      <c r="C221" s="118" t="s">
        <v>215</v>
      </c>
      <c r="D221" s="119" t="s">
        <v>61</v>
      </c>
      <c r="E221" s="562"/>
      <c r="F221" s="143" t="s">
        <v>13</v>
      </c>
      <c r="G221" s="120">
        <v>0</v>
      </c>
      <c r="H221" s="120">
        <v>0</v>
      </c>
      <c r="I221" s="120">
        <v>0</v>
      </c>
      <c r="J221" s="120">
        <v>519.4</v>
      </c>
      <c r="K221" s="120">
        <v>1000</v>
      </c>
      <c r="L221" s="120">
        <v>1000</v>
      </c>
      <c r="M221" s="120">
        <v>1070</v>
      </c>
      <c r="N221" s="15">
        <f t="shared" si="13"/>
        <v>3589.4</v>
      </c>
      <c r="O221" s="120">
        <v>1070</v>
      </c>
      <c r="P221" s="115">
        <v>0</v>
      </c>
      <c r="Q221" s="115">
        <v>0</v>
      </c>
      <c r="R221" s="115">
        <v>0</v>
      </c>
      <c r="S221" s="115">
        <v>0</v>
      </c>
      <c r="T221" s="115">
        <v>0</v>
      </c>
      <c r="U221" s="115">
        <f t="shared" ref="U221:U233" si="16">SUM(G221:T221)-N221</f>
        <v>4659.3999999999996</v>
      </c>
      <c r="V221" s="107">
        <f t="shared" si="12"/>
        <v>0</v>
      </c>
      <c r="W221" s="16">
        <f>N221+O221-'додаток сесія_2024_2028_161 (2'!O220</f>
        <v>0</v>
      </c>
    </row>
    <row r="222" spans="1:23" ht="48.75" hidden="1" customHeight="1" x14ac:dyDescent="0.2">
      <c r="A222" s="117"/>
      <c r="B222" s="560"/>
      <c r="C222" s="121" t="s">
        <v>216</v>
      </c>
      <c r="D222" s="122" t="s">
        <v>68</v>
      </c>
      <c r="E222" s="562" t="s">
        <v>217</v>
      </c>
      <c r="F222" s="143" t="s">
        <v>13</v>
      </c>
      <c r="G222" s="120">
        <v>0</v>
      </c>
      <c r="H222" s="120">
        <v>0</v>
      </c>
      <c r="I222" s="120">
        <v>0</v>
      </c>
      <c r="J222" s="120">
        <v>972</v>
      </c>
      <c r="K222" s="120">
        <v>3900</v>
      </c>
      <c r="L222" s="120">
        <v>0</v>
      </c>
      <c r="M222" s="120">
        <v>0</v>
      </c>
      <c r="N222" s="15">
        <f t="shared" si="13"/>
        <v>4872</v>
      </c>
      <c r="O222" s="120">
        <v>0</v>
      </c>
      <c r="P222" s="115">
        <v>0</v>
      </c>
      <c r="Q222" s="115">
        <v>0</v>
      </c>
      <c r="R222" s="115">
        <v>0</v>
      </c>
      <c r="S222" s="115">
        <v>0</v>
      </c>
      <c r="T222" s="115">
        <v>0</v>
      </c>
      <c r="U222" s="115">
        <f t="shared" si="16"/>
        <v>4872</v>
      </c>
      <c r="V222" s="107">
        <f t="shared" si="12"/>
        <v>0</v>
      </c>
      <c r="W222" s="16">
        <f>N222+O222-'додаток сесія_2024_2028_161 (2'!O221</f>
        <v>0</v>
      </c>
    </row>
    <row r="223" spans="1:23" ht="45.75" hidden="1" customHeight="1" x14ac:dyDescent="0.2">
      <c r="A223" s="124"/>
      <c r="B223" s="560"/>
      <c r="C223" s="126" t="s">
        <v>218</v>
      </c>
      <c r="D223" s="127">
        <v>2020</v>
      </c>
      <c r="E223" s="562"/>
      <c r="F223" s="143" t="s">
        <v>13</v>
      </c>
      <c r="G223" s="120">
        <v>0</v>
      </c>
      <c r="H223" s="120">
        <v>0</v>
      </c>
      <c r="I223" s="120">
        <v>0</v>
      </c>
      <c r="J223" s="120">
        <v>0</v>
      </c>
      <c r="K223" s="120">
        <v>900</v>
      </c>
      <c r="L223" s="120">
        <v>0</v>
      </c>
      <c r="M223" s="120">
        <v>0</v>
      </c>
      <c r="N223" s="15">
        <f t="shared" si="13"/>
        <v>900</v>
      </c>
      <c r="O223" s="120">
        <v>0</v>
      </c>
      <c r="P223" s="115">
        <v>0</v>
      </c>
      <c r="Q223" s="115">
        <v>0</v>
      </c>
      <c r="R223" s="115">
        <v>0</v>
      </c>
      <c r="S223" s="115">
        <v>0</v>
      </c>
      <c r="T223" s="115">
        <v>0</v>
      </c>
      <c r="U223" s="115">
        <f t="shared" si="16"/>
        <v>900</v>
      </c>
      <c r="V223" s="107">
        <f t="shared" si="12"/>
        <v>0</v>
      </c>
      <c r="W223" s="16">
        <f>N223+O223-'додаток сесія_2024_2028_161 (2'!O222</f>
        <v>0</v>
      </c>
    </row>
    <row r="224" spans="1:23" ht="44.25" hidden="1" customHeight="1" x14ac:dyDescent="0.2">
      <c r="A224" s="124"/>
      <c r="B224" s="560"/>
      <c r="C224" s="118" t="s">
        <v>219</v>
      </c>
      <c r="D224" s="128" t="s">
        <v>109</v>
      </c>
      <c r="E224" s="124"/>
      <c r="F224" s="143" t="s">
        <v>13</v>
      </c>
      <c r="G224" s="120">
        <v>0</v>
      </c>
      <c r="H224" s="120">
        <v>0</v>
      </c>
      <c r="I224" s="120">
        <v>0</v>
      </c>
      <c r="J224" s="120">
        <v>0</v>
      </c>
      <c r="K224" s="120">
        <v>350</v>
      </c>
      <c r="L224" s="120">
        <v>370</v>
      </c>
      <c r="M224" s="120">
        <v>0</v>
      </c>
      <c r="N224" s="15">
        <f t="shared" si="13"/>
        <v>720</v>
      </c>
      <c r="O224" s="120">
        <v>0</v>
      </c>
      <c r="P224" s="115">
        <v>0</v>
      </c>
      <c r="Q224" s="115">
        <v>0</v>
      </c>
      <c r="R224" s="115">
        <v>0</v>
      </c>
      <c r="S224" s="115">
        <v>0</v>
      </c>
      <c r="T224" s="115">
        <v>0</v>
      </c>
      <c r="U224" s="115">
        <f t="shared" si="16"/>
        <v>720</v>
      </c>
      <c r="V224" s="107">
        <f t="shared" si="12"/>
        <v>0</v>
      </c>
      <c r="W224" s="16">
        <f>N224+O224-'додаток сесія_2024_2028_161 (2'!O223</f>
        <v>0</v>
      </c>
    </row>
    <row r="225" spans="1:23" ht="47.25" hidden="1" customHeight="1" x14ac:dyDescent="0.2">
      <c r="A225" s="124"/>
      <c r="B225" s="537"/>
      <c r="C225" s="129" t="s">
        <v>220</v>
      </c>
      <c r="D225" s="122" t="s">
        <v>109</v>
      </c>
      <c r="E225" s="124"/>
      <c r="F225" s="143" t="s">
        <v>13</v>
      </c>
      <c r="G225" s="120">
        <v>0</v>
      </c>
      <c r="H225" s="120">
        <v>0</v>
      </c>
      <c r="I225" s="120">
        <v>0</v>
      </c>
      <c r="J225" s="120">
        <v>0</v>
      </c>
      <c r="K225" s="120">
        <v>1000</v>
      </c>
      <c r="L225" s="120">
        <v>3000</v>
      </c>
      <c r="M225" s="120">
        <v>3000</v>
      </c>
      <c r="N225" s="15">
        <f t="shared" si="13"/>
        <v>7000</v>
      </c>
      <c r="O225" s="120">
        <v>3000</v>
      </c>
      <c r="P225" s="115">
        <v>0</v>
      </c>
      <c r="Q225" s="115">
        <v>0</v>
      </c>
      <c r="R225" s="115">
        <v>0</v>
      </c>
      <c r="S225" s="115">
        <v>0</v>
      </c>
      <c r="T225" s="115">
        <v>0</v>
      </c>
      <c r="U225" s="115">
        <f t="shared" si="16"/>
        <v>10000</v>
      </c>
      <c r="V225" s="107">
        <f t="shared" si="12"/>
        <v>0</v>
      </c>
      <c r="W225" s="16">
        <f>N225+O225-'додаток сесія_2024_2028_161 (2'!O224</f>
        <v>0</v>
      </c>
    </row>
    <row r="226" spans="1:23" ht="42" hidden="1" customHeight="1" x14ac:dyDescent="0.2">
      <c r="A226" s="117"/>
      <c r="B226" s="528"/>
      <c r="C226" s="131" t="s">
        <v>221</v>
      </c>
      <c r="D226" s="114">
        <v>2020</v>
      </c>
      <c r="E226" s="197"/>
      <c r="F226" s="143" t="s">
        <v>13</v>
      </c>
      <c r="G226" s="120">
        <v>0</v>
      </c>
      <c r="H226" s="120">
        <v>0</v>
      </c>
      <c r="I226" s="120">
        <v>0</v>
      </c>
      <c r="J226" s="120">
        <v>0</v>
      </c>
      <c r="K226" s="120">
        <v>2450</v>
      </c>
      <c r="L226" s="120">
        <v>0</v>
      </c>
      <c r="M226" s="120">
        <v>0</v>
      </c>
      <c r="N226" s="15">
        <f t="shared" si="13"/>
        <v>2450</v>
      </c>
      <c r="O226" s="120">
        <v>0</v>
      </c>
      <c r="P226" s="115">
        <v>0</v>
      </c>
      <c r="Q226" s="115">
        <v>0</v>
      </c>
      <c r="R226" s="115">
        <v>0</v>
      </c>
      <c r="S226" s="115">
        <v>0</v>
      </c>
      <c r="T226" s="115">
        <v>0</v>
      </c>
      <c r="U226" s="115">
        <f t="shared" si="16"/>
        <v>2450</v>
      </c>
      <c r="V226" s="107">
        <f t="shared" si="12"/>
        <v>0</v>
      </c>
      <c r="W226" s="16">
        <f>N226+O226-'додаток сесія_2024_2028_161 (2'!O225</f>
        <v>0</v>
      </c>
    </row>
    <row r="227" spans="1:23" ht="49.5" hidden="1" customHeight="1" x14ac:dyDescent="0.2">
      <c r="A227" s="117"/>
      <c r="B227" s="528"/>
      <c r="C227" s="131" t="s">
        <v>222</v>
      </c>
      <c r="D227" s="114">
        <v>2020</v>
      </c>
      <c r="E227" s="197"/>
      <c r="F227" s="143" t="s">
        <v>13</v>
      </c>
      <c r="G227" s="120">
        <v>0</v>
      </c>
      <c r="H227" s="120">
        <v>0</v>
      </c>
      <c r="I227" s="120">
        <v>0</v>
      </c>
      <c r="J227" s="120">
        <v>0</v>
      </c>
      <c r="K227" s="120">
        <v>4500</v>
      </c>
      <c r="L227" s="120">
        <v>0</v>
      </c>
      <c r="M227" s="120">
        <v>0</v>
      </c>
      <c r="N227" s="15">
        <f t="shared" si="13"/>
        <v>4500</v>
      </c>
      <c r="O227" s="120">
        <v>0</v>
      </c>
      <c r="P227" s="115">
        <v>0</v>
      </c>
      <c r="Q227" s="115">
        <v>0</v>
      </c>
      <c r="R227" s="115">
        <v>0</v>
      </c>
      <c r="S227" s="115">
        <v>0</v>
      </c>
      <c r="T227" s="115">
        <v>0</v>
      </c>
      <c r="U227" s="115">
        <f t="shared" si="16"/>
        <v>4500</v>
      </c>
      <c r="V227" s="107">
        <f t="shared" si="12"/>
        <v>0</v>
      </c>
      <c r="W227" s="16">
        <f>N227+O227-'додаток сесія_2024_2028_161 (2'!O226</f>
        <v>0</v>
      </c>
    </row>
    <row r="228" spans="1:23" ht="40.5" hidden="1" customHeight="1" x14ac:dyDescent="0.2">
      <c r="A228" s="117"/>
      <c r="B228" s="133"/>
      <c r="C228" s="134" t="s">
        <v>223</v>
      </c>
      <c r="D228" s="123" t="s">
        <v>109</v>
      </c>
      <c r="E228" s="197"/>
      <c r="F228" s="143" t="s">
        <v>13</v>
      </c>
      <c r="G228" s="120">
        <v>0</v>
      </c>
      <c r="H228" s="120">
        <v>0</v>
      </c>
      <c r="I228" s="120">
        <v>0</v>
      </c>
      <c r="J228" s="120">
        <v>0</v>
      </c>
      <c r="K228" s="120">
        <v>5160</v>
      </c>
      <c r="L228" s="120">
        <v>5000</v>
      </c>
      <c r="M228" s="120">
        <v>0</v>
      </c>
      <c r="N228" s="15">
        <f t="shared" si="13"/>
        <v>10160</v>
      </c>
      <c r="O228" s="120">
        <v>0</v>
      </c>
      <c r="P228" s="115">
        <v>0</v>
      </c>
      <c r="Q228" s="115">
        <v>0</v>
      </c>
      <c r="R228" s="115">
        <v>0</v>
      </c>
      <c r="S228" s="115">
        <v>0</v>
      </c>
      <c r="T228" s="115">
        <v>0</v>
      </c>
      <c r="U228" s="115">
        <f t="shared" si="16"/>
        <v>10160</v>
      </c>
      <c r="V228" s="107">
        <f t="shared" si="12"/>
        <v>0</v>
      </c>
      <c r="W228" s="16">
        <f>N228+O228-'додаток сесія_2024_2028_161 (2'!O227</f>
        <v>0</v>
      </c>
    </row>
    <row r="229" spans="1:23" ht="48" hidden="1" customHeight="1" x14ac:dyDescent="0.2">
      <c r="A229" s="135"/>
      <c r="B229" s="136"/>
      <c r="C229" s="137" t="s">
        <v>224</v>
      </c>
      <c r="D229" s="138" t="s">
        <v>71</v>
      </c>
      <c r="E229" s="197"/>
      <c r="F229" s="143" t="s">
        <v>13</v>
      </c>
      <c r="G229" s="120">
        <v>0</v>
      </c>
      <c r="H229" s="120">
        <v>0</v>
      </c>
      <c r="I229" s="120">
        <v>0</v>
      </c>
      <c r="J229" s="120">
        <v>0</v>
      </c>
      <c r="K229" s="120">
        <v>0</v>
      </c>
      <c r="L229" s="120">
        <v>3150</v>
      </c>
      <c r="M229" s="120">
        <v>3125</v>
      </c>
      <c r="N229" s="15">
        <f t="shared" si="13"/>
        <v>6275</v>
      </c>
      <c r="O229" s="120">
        <v>3125</v>
      </c>
      <c r="P229" s="115">
        <v>0</v>
      </c>
      <c r="Q229" s="115">
        <v>0</v>
      </c>
      <c r="R229" s="115">
        <v>0</v>
      </c>
      <c r="S229" s="115">
        <v>0</v>
      </c>
      <c r="T229" s="115">
        <v>0</v>
      </c>
      <c r="U229" s="115">
        <f t="shared" si="16"/>
        <v>9400</v>
      </c>
      <c r="V229" s="107">
        <f t="shared" si="12"/>
        <v>0</v>
      </c>
      <c r="W229" s="16">
        <f>N229+O229-'додаток сесія_2024_2028_161 (2'!O228</f>
        <v>0</v>
      </c>
    </row>
    <row r="230" spans="1:23" ht="51.75" hidden="1" customHeight="1" x14ac:dyDescent="0.2">
      <c r="A230" s="135"/>
      <c r="B230" s="526"/>
      <c r="C230" s="121" t="s">
        <v>225</v>
      </c>
      <c r="D230" s="140" t="s">
        <v>71</v>
      </c>
      <c r="E230" s="527"/>
      <c r="F230" s="143" t="s">
        <v>13</v>
      </c>
      <c r="G230" s="120">
        <v>0</v>
      </c>
      <c r="H230" s="120">
        <v>0</v>
      </c>
      <c r="I230" s="120">
        <v>0</v>
      </c>
      <c r="J230" s="120">
        <v>0</v>
      </c>
      <c r="K230" s="120">
        <v>0</v>
      </c>
      <c r="L230" s="120">
        <f>5350-5350</f>
        <v>0</v>
      </c>
      <c r="M230" s="120">
        <f>5350-5350</f>
        <v>0</v>
      </c>
      <c r="N230" s="15">
        <f t="shared" si="13"/>
        <v>0</v>
      </c>
      <c r="O230" s="120">
        <f>5350-5350</f>
        <v>0</v>
      </c>
      <c r="P230" s="115">
        <v>0</v>
      </c>
      <c r="Q230" s="115">
        <v>0</v>
      </c>
      <c r="R230" s="115">
        <v>0</v>
      </c>
      <c r="S230" s="115">
        <v>0</v>
      </c>
      <c r="T230" s="115">
        <v>0</v>
      </c>
      <c r="U230" s="115">
        <f t="shared" si="16"/>
        <v>0</v>
      </c>
      <c r="V230" s="107">
        <f t="shared" si="12"/>
        <v>0</v>
      </c>
      <c r="W230" s="16">
        <f>N230+O230-'додаток сесія_2024_2028_161 (2'!O229</f>
        <v>0</v>
      </c>
    </row>
    <row r="231" spans="1:23" ht="40.5" hidden="1" customHeight="1" x14ac:dyDescent="0.2">
      <c r="A231" s="135"/>
      <c r="B231" s="526"/>
      <c r="C231" s="126" t="s">
        <v>226</v>
      </c>
      <c r="D231" s="127" t="s">
        <v>71</v>
      </c>
      <c r="E231" s="197"/>
      <c r="F231" s="143" t="s">
        <v>13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6500</v>
      </c>
      <c r="M231" s="120">
        <v>750</v>
      </c>
      <c r="N231" s="15">
        <f t="shared" si="13"/>
        <v>7250</v>
      </c>
      <c r="O231" s="120">
        <v>750</v>
      </c>
      <c r="P231" s="115">
        <v>0</v>
      </c>
      <c r="Q231" s="115">
        <v>0</v>
      </c>
      <c r="R231" s="115">
        <v>0</v>
      </c>
      <c r="S231" s="115">
        <v>0</v>
      </c>
      <c r="T231" s="115">
        <v>0</v>
      </c>
      <c r="U231" s="115">
        <f t="shared" si="16"/>
        <v>8000</v>
      </c>
      <c r="V231" s="107">
        <f t="shared" si="12"/>
        <v>0</v>
      </c>
      <c r="W231" s="16">
        <f>N231+O231-'додаток сесія_2024_2028_161 (2'!O230</f>
        <v>0</v>
      </c>
    </row>
    <row r="232" spans="1:23" ht="84" hidden="1" customHeight="1" x14ac:dyDescent="0.2">
      <c r="A232" s="135"/>
      <c r="B232" s="526"/>
      <c r="C232" s="142" t="s">
        <v>227</v>
      </c>
      <c r="D232" s="143">
        <v>2023</v>
      </c>
      <c r="E232" s="197"/>
      <c r="F232" s="143" t="s">
        <v>13</v>
      </c>
      <c r="G232" s="120">
        <v>0</v>
      </c>
      <c r="H232" s="120">
        <v>0</v>
      </c>
      <c r="I232" s="120">
        <v>0</v>
      </c>
      <c r="J232" s="120">
        <v>0</v>
      </c>
      <c r="K232" s="120">
        <v>0</v>
      </c>
      <c r="L232" s="120">
        <v>0</v>
      </c>
      <c r="M232" s="120">
        <v>0</v>
      </c>
      <c r="N232" s="15">
        <f t="shared" si="13"/>
        <v>0</v>
      </c>
      <c r="O232" s="20">
        <f>10623.9-934.29</f>
        <v>9689.61</v>
      </c>
      <c r="P232" s="115">
        <v>0</v>
      </c>
      <c r="Q232" s="115">
        <v>0</v>
      </c>
      <c r="R232" s="115">
        <v>0</v>
      </c>
      <c r="S232" s="115">
        <v>0</v>
      </c>
      <c r="T232" s="115">
        <v>0</v>
      </c>
      <c r="U232" s="115">
        <f t="shared" si="16"/>
        <v>9689.61</v>
      </c>
      <c r="V232" s="107">
        <f t="shared" si="12"/>
        <v>0</v>
      </c>
      <c r="W232" s="16">
        <f>N232+O232-'додаток сесія_2024_2028_161 (2'!O231</f>
        <v>0</v>
      </c>
    </row>
    <row r="233" spans="1:23" ht="43.5" hidden="1" customHeight="1" x14ac:dyDescent="0.2">
      <c r="A233" s="144"/>
      <c r="B233" s="523"/>
      <c r="C233" s="146" t="s">
        <v>228</v>
      </c>
      <c r="D233" s="147">
        <v>2023</v>
      </c>
      <c r="E233" s="484"/>
      <c r="F233" s="293" t="s">
        <v>13</v>
      </c>
      <c r="G233" s="120">
        <v>0</v>
      </c>
      <c r="H233" s="120">
        <v>0</v>
      </c>
      <c r="I233" s="120">
        <v>0</v>
      </c>
      <c r="J233" s="120">
        <v>0</v>
      </c>
      <c r="K233" s="120">
        <v>0</v>
      </c>
      <c r="L233" s="120">
        <v>0</v>
      </c>
      <c r="M233" s="120">
        <v>0</v>
      </c>
      <c r="N233" s="15">
        <f t="shared" si="13"/>
        <v>0</v>
      </c>
      <c r="O233" s="20">
        <v>934.28800000000001</v>
      </c>
      <c r="P233" s="115">
        <v>0</v>
      </c>
      <c r="Q233" s="115">
        <v>0</v>
      </c>
      <c r="R233" s="115">
        <v>0</v>
      </c>
      <c r="S233" s="115">
        <v>0</v>
      </c>
      <c r="T233" s="115">
        <v>0</v>
      </c>
      <c r="U233" s="115">
        <f t="shared" si="16"/>
        <v>934.28800000000001</v>
      </c>
      <c r="V233" s="107">
        <f t="shared" si="12"/>
        <v>0</v>
      </c>
      <c r="W233" s="16">
        <f>N233+O233-'додаток сесія_2024_2028_161 (2'!O232</f>
        <v>0</v>
      </c>
    </row>
    <row r="234" spans="1:23" ht="41.25" hidden="1" customHeight="1" x14ac:dyDescent="0.2">
      <c r="A234" s="569" t="s">
        <v>91</v>
      </c>
      <c r="B234" s="578"/>
      <c r="C234" s="149"/>
      <c r="D234" s="150"/>
      <c r="E234" s="485"/>
      <c r="F234" s="143" t="s">
        <v>13</v>
      </c>
      <c r="G234" s="164">
        <f>SUM(G218:G233)</f>
        <v>0</v>
      </c>
      <c r="H234" s="164">
        <f t="shared" ref="H234:T234" si="17">SUM(H218:H233)</f>
        <v>0</v>
      </c>
      <c r="I234" s="164">
        <f t="shared" si="17"/>
        <v>0</v>
      </c>
      <c r="J234" s="164">
        <f t="shared" si="17"/>
        <v>5551.3</v>
      </c>
      <c r="K234" s="164">
        <f t="shared" si="17"/>
        <v>39506.5</v>
      </c>
      <c r="L234" s="164">
        <f t="shared" si="17"/>
        <v>67510</v>
      </c>
      <c r="M234" s="164">
        <f>SUM(M218:M233)</f>
        <v>59195</v>
      </c>
      <c r="N234" s="164">
        <f>SUM(N218:N233)</f>
        <v>171762.8</v>
      </c>
      <c r="O234" s="164">
        <f t="shared" si="17"/>
        <v>61594.998</v>
      </c>
      <c r="P234" s="164">
        <f t="shared" si="17"/>
        <v>0</v>
      </c>
      <c r="Q234" s="164">
        <f t="shared" si="17"/>
        <v>0</v>
      </c>
      <c r="R234" s="164">
        <f t="shared" si="17"/>
        <v>0</v>
      </c>
      <c r="S234" s="164">
        <f t="shared" si="17"/>
        <v>0</v>
      </c>
      <c r="T234" s="164">
        <f t="shared" si="17"/>
        <v>0</v>
      </c>
      <c r="U234" s="164">
        <f>SUM(G234:T234)-N234</f>
        <v>233357.79800000001</v>
      </c>
      <c r="V234" s="107">
        <f t="shared" si="12"/>
        <v>0</v>
      </c>
      <c r="W234" s="16">
        <f>N234+O234-'додаток сесія_2024_2028_161 (2'!O233</f>
        <v>0</v>
      </c>
    </row>
    <row r="235" spans="1:23" ht="84" hidden="1" customHeight="1" x14ac:dyDescent="0.2">
      <c r="A235" s="492">
        <v>4</v>
      </c>
      <c r="B235" s="491" t="s">
        <v>229</v>
      </c>
      <c r="C235" s="152" t="s">
        <v>386</v>
      </c>
      <c r="D235" s="153">
        <v>2020</v>
      </c>
      <c r="E235" s="486" t="s">
        <v>231</v>
      </c>
      <c r="F235" s="143" t="s">
        <v>13</v>
      </c>
      <c r="G235" s="120">
        <v>0</v>
      </c>
      <c r="H235" s="120">
        <v>0</v>
      </c>
      <c r="I235" s="120">
        <v>0</v>
      </c>
      <c r="J235" s="120">
        <v>0</v>
      </c>
      <c r="K235" s="120">
        <v>167.43</v>
      </c>
      <c r="L235" s="120">
        <v>0</v>
      </c>
      <c r="M235" s="120">
        <v>0</v>
      </c>
      <c r="N235" s="15">
        <f t="shared" si="13"/>
        <v>167.43</v>
      </c>
      <c r="O235" s="120">
        <v>0</v>
      </c>
      <c r="P235" s="115">
        <v>0</v>
      </c>
      <c r="Q235" s="115">
        <v>0</v>
      </c>
      <c r="R235" s="115">
        <v>0</v>
      </c>
      <c r="S235" s="115">
        <v>0</v>
      </c>
      <c r="T235" s="115">
        <v>0</v>
      </c>
      <c r="U235" s="115">
        <f>SUM(G235:T235)-N235</f>
        <v>167.43</v>
      </c>
      <c r="V235" s="107">
        <f t="shared" si="12"/>
        <v>0</v>
      </c>
      <c r="W235" s="16">
        <f>N235+O235-'додаток сесія_2024_2028_161 (2'!O234</f>
        <v>0</v>
      </c>
    </row>
    <row r="236" spans="1:23" ht="82.5" hidden="1" customHeight="1" x14ac:dyDescent="0.2">
      <c r="A236" s="151"/>
      <c r="B236" s="528"/>
      <c r="C236" s="155" t="s">
        <v>232</v>
      </c>
      <c r="D236" s="156" t="s">
        <v>18</v>
      </c>
      <c r="E236" s="487" t="s">
        <v>233</v>
      </c>
      <c r="F236" s="143" t="s">
        <v>13</v>
      </c>
      <c r="G236" s="115">
        <v>199.92</v>
      </c>
      <c r="H236" s="115">
        <v>0</v>
      </c>
      <c r="I236" s="115">
        <v>0</v>
      </c>
      <c r="J236" s="115">
        <v>0</v>
      </c>
      <c r="K236" s="115">
        <v>0</v>
      </c>
      <c r="L236" s="115">
        <v>0</v>
      </c>
      <c r="M236" s="115">
        <v>0</v>
      </c>
      <c r="N236" s="15">
        <f t="shared" si="13"/>
        <v>199.92</v>
      </c>
      <c r="O236" s="115">
        <v>0</v>
      </c>
      <c r="P236" s="115">
        <v>0</v>
      </c>
      <c r="Q236" s="115">
        <v>0</v>
      </c>
      <c r="R236" s="115">
        <v>0</v>
      </c>
      <c r="S236" s="115">
        <v>0</v>
      </c>
      <c r="T236" s="115">
        <v>0</v>
      </c>
      <c r="U236" s="115">
        <f t="shared" ref="U236:U238" si="18">SUM(G236:T236)-N236</f>
        <v>199.92</v>
      </c>
      <c r="V236" s="107">
        <f t="shared" si="12"/>
        <v>0</v>
      </c>
      <c r="W236" s="16">
        <f>N236+O236-'додаток сесія_2024_2028_161 (2'!O235</f>
        <v>0</v>
      </c>
    </row>
    <row r="237" spans="1:23" ht="76.5" hidden="1" customHeight="1" x14ac:dyDescent="0.2">
      <c r="A237" s="157"/>
      <c r="B237" s="158"/>
      <c r="C237" s="525" t="s">
        <v>234</v>
      </c>
      <c r="D237" s="160">
        <v>2021</v>
      </c>
      <c r="E237" s="487" t="s">
        <v>231</v>
      </c>
      <c r="F237" s="143" t="s">
        <v>13</v>
      </c>
      <c r="G237" s="120">
        <v>0</v>
      </c>
      <c r="H237" s="120">
        <v>0</v>
      </c>
      <c r="I237" s="120">
        <v>0</v>
      </c>
      <c r="J237" s="120">
        <v>0</v>
      </c>
      <c r="K237" s="120">
        <v>0</v>
      </c>
      <c r="L237" s="120">
        <v>485.1</v>
      </c>
      <c r="M237" s="120">
        <v>0</v>
      </c>
      <c r="N237" s="15">
        <f t="shared" si="13"/>
        <v>485.1</v>
      </c>
      <c r="O237" s="120">
        <v>0</v>
      </c>
      <c r="P237" s="115">
        <v>0</v>
      </c>
      <c r="Q237" s="115">
        <v>0</v>
      </c>
      <c r="R237" s="115">
        <v>0</v>
      </c>
      <c r="S237" s="115">
        <v>0</v>
      </c>
      <c r="T237" s="115">
        <v>0</v>
      </c>
      <c r="U237" s="115">
        <f t="shared" si="18"/>
        <v>485.1</v>
      </c>
      <c r="V237" s="107">
        <f t="shared" si="12"/>
        <v>0</v>
      </c>
      <c r="W237" s="16">
        <f>N237+O237-'додаток сесія_2024_2028_161 (2'!O236</f>
        <v>0</v>
      </c>
    </row>
    <row r="238" spans="1:23" ht="77.25" hidden="1" customHeight="1" x14ac:dyDescent="0.2">
      <c r="A238" s="162"/>
      <c r="B238" s="163"/>
      <c r="C238" s="525" t="s">
        <v>235</v>
      </c>
      <c r="D238" s="160">
        <v>2022</v>
      </c>
      <c r="E238" s="487" t="s">
        <v>231</v>
      </c>
      <c r="F238" s="143" t="s">
        <v>13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488.9</v>
      </c>
      <c r="N238" s="15">
        <f t="shared" si="13"/>
        <v>488.9</v>
      </c>
      <c r="O238" s="120">
        <v>0</v>
      </c>
      <c r="P238" s="115">
        <v>0</v>
      </c>
      <c r="Q238" s="115">
        <v>0</v>
      </c>
      <c r="R238" s="115">
        <v>0</v>
      </c>
      <c r="S238" s="115">
        <v>0</v>
      </c>
      <c r="T238" s="115">
        <v>0</v>
      </c>
      <c r="U238" s="115">
        <f t="shared" si="18"/>
        <v>488.9</v>
      </c>
      <c r="V238" s="107">
        <f t="shared" si="12"/>
        <v>0</v>
      </c>
      <c r="W238" s="16">
        <f>N238+O238-'додаток сесія_2024_2028_161 (2'!O237</f>
        <v>0</v>
      </c>
    </row>
    <row r="239" spans="1:23" ht="40.5" hidden="1" customHeight="1" x14ac:dyDescent="0.2">
      <c r="A239" s="579" t="s">
        <v>91</v>
      </c>
      <c r="B239" s="579"/>
      <c r="C239" s="580"/>
      <c r="D239" s="580"/>
      <c r="E239" s="581"/>
      <c r="F239" s="542" t="s">
        <v>13</v>
      </c>
      <c r="G239" s="543">
        <f>SUM(G235:G238)</f>
        <v>199.92</v>
      </c>
      <c r="H239" s="543">
        <f t="shared" ref="H239:T239" si="19">SUM(H235:H238)</f>
        <v>0</v>
      </c>
      <c r="I239" s="543">
        <f t="shared" si="19"/>
        <v>0</v>
      </c>
      <c r="J239" s="543">
        <f t="shared" si="19"/>
        <v>0</v>
      </c>
      <c r="K239" s="543">
        <f t="shared" si="19"/>
        <v>167.43</v>
      </c>
      <c r="L239" s="543">
        <f t="shared" si="19"/>
        <v>485.1</v>
      </c>
      <c r="M239" s="543">
        <f t="shared" si="19"/>
        <v>488.9</v>
      </c>
      <c r="N239" s="543">
        <f t="shared" si="19"/>
        <v>1341.35</v>
      </c>
      <c r="O239" s="543">
        <f t="shared" si="19"/>
        <v>0</v>
      </c>
      <c r="P239" s="543">
        <f t="shared" si="19"/>
        <v>0</v>
      </c>
      <c r="Q239" s="543">
        <f t="shared" si="19"/>
        <v>0</v>
      </c>
      <c r="R239" s="543">
        <f t="shared" si="19"/>
        <v>0</v>
      </c>
      <c r="S239" s="543">
        <f t="shared" si="19"/>
        <v>0</v>
      </c>
      <c r="T239" s="543">
        <f t="shared" si="19"/>
        <v>0</v>
      </c>
      <c r="U239" s="543">
        <f>SUM(G239:T239)-N239</f>
        <v>1341.35</v>
      </c>
      <c r="V239" s="107">
        <f t="shared" si="12"/>
        <v>0</v>
      </c>
      <c r="W239" s="16">
        <f>N239+O239-'додаток сесія_2024_2028_161 (2'!O238</f>
        <v>0</v>
      </c>
    </row>
    <row r="240" spans="1:23" ht="78.75" hidden="1" customHeight="1" x14ac:dyDescent="0.2">
      <c r="A240" s="589">
        <v>5</v>
      </c>
      <c r="B240" s="588" t="s">
        <v>236</v>
      </c>
      <c r="C240" s="544" t="s">
        <v>429</v>
      </c>
      <c r="D240" s="293" t="s">
        <v>238</v>
      </c>
      <c r="E240" s="538" t="s">
        <v>231</v>
      </c>
      <c r="F240" s="143" t="s">
        <v>13</v>
      </c>
      <c r="G240" s="115">
        <v>0</v>
      </c>
      <c r="H240" s="115">
        <v>300</v>
      </c>
      <c r="I240" s="115">
        <v>0</v>
      </c>
      <c r="J240" s="115">
        <v>0</v>
      </c>
      <c r="K240" s="115">
        <v>0</v>
      </c>
      <c r="L240" s="115">
        <v>1469</v>
      </c>
      <c r="M240" s="115">
        <v>0</v>
      </c>
      <c r="N240" s="15">
        <f t="shared" si="13"/>
        <v>1769</v>
      </c>
      <c r="O240" s="115">
        <v>0</v>
      </c>
      <c r="P240" s="115">
        <v>0</v>
      </c>
      <c r="Q240" s="115">
        <v>0</v>
      </c>
      <c r="R240" s="115">
        <v>0</v>
      </c>
      <c r="S240" s="115">
        <v>0</v>
      </c>
      <c r="T240" s="115">
        <v>0</v>
      </c>
      <c r="U240" s="115">
        <f>SUM(G240:T240)-N240</f>
        <v>1769</v>
      </c>
      <c r="V240" s="107">
        <f t="shared" si="12"/>
        <v>0</v>
      </c>
      <c r="W240" s="16">
        <f>N240+O240-'додаток сесія_2024_2028_161 (2'!O239</f>
        <v>0</v>
      </c>
    </row>
    <row r="241" spans="1:23" ht="41.25" hidden="1" customHeight="1" x14ac:dyDescent="0.2">
      <c r="A241" s="589"/>
      <c r="B241" s="588"/>
      <c r="C241" s="544" t="s">
        <v>430</v>
      </c>
      <c r="D241" s="293" t="s">
        <v>73</v>
      </c>
      <c r="E241" s="587" t="s">
        <v>231</v>
      </c>
      <c r="F241" s="143" t="s">
        <v>13</v>
      </c>
      <c r="G241" s="115">
        <v>0</v>
      </c>
      <c r="H241" s="115">
        <v>0</v>
      </c>
      <c r="I241" s="115">
        <v>0</v>
      </c>
      <c r="J241" s="115">
        <v>0</v>
      </c>
      <c r="K241" s="115">
        <v>0</v>
      </c>
      <c r="L241" s="115">
        <v>31</v>
      </c>
      <c r="M241" s="115">
        <v>0</v>
      </c>
      <c r="N241" s="15">
        <f t="shared" si="13"/>
        <v>31</v>
      </c>
      <c r="O241" s="115">
        <v>0</v>
      </c>
      <c r="P241" s="115">
        <v>50</v>
      </c>
      <c r="Q241" s="115">
        <v>55</v>
      </c>
      <c r="R241" s="115">
        <v>61</v>
      </c>
      <c r="S241" s="115">
        <v>67</v>
      </c>
      <c r="T241" s="115">
        <v>75</v>
      </c>
      <c r="U241" s="115">
        <f t="shared" ref="U241:U243" si="20">SUM(G241:T241)-N241</f>
        <v>339</v>
      </c>
      <c r="V241" s="107">
        <f t="shared" si="12"/>
        <v>0</v>
      </c>
      <c r="W241" s="16">
        <f>N241+O241-'додаток сесія_2024_2028_161 (2'!O240</f>
        <v>0</v>
      </c>
    </row>
    <row r="242" spans="1:23" ht="52.5" hidden="1" customHeight="1" x14ac:dyDescent="0.2">
      <c r="A242" s="589"/>
      <c r="B242" s="588"/>
      <c r="C242" s="37" t="s">
        <v>240</v>
      </c>
      <c r="D242" s="143" t="s">
        <v>88</v>
      </c>
      <c r="E242" s="587"/>
      <c r="F242" s="143" t="s">
        <v>13</v>
      </c>
      <c r="G242" s="115">
        <v>0</v>
      </c>
      <c r="H242" s="115">
        <v>0</v>
      </c>
      <c r="I242" s="115">
        <v>0</v>
      </c>
      <c r="J242" s="115">
        <v>0</v>
      </c>
      <c r="K242" s="115">
        <v>0</v>
      </c>
      <c r="L242" s="115">
        <v>0</v>
      </c>
      <c r="M242" s="115">
        <v>0</v>
      </c>
      <c r="N242" s="15">
        <f t="shared" ref="N242" si="21">G242+H242+I242+J242+K242+L242+M242</f>
        <v>0</v>
      </c>
      <c r="O242" s="115">
        <v>0</v>
      </c>
      <c r="P242" s="115">
        <v>35</v>
      </c>
      <c r="Q242" s="115">
        <v>40</v>
      </c>
      <c r="R242" s="115">
        <v>45</v>
      </c>
      <c r="S242" s="115">
        <v>50</v>
      </c>
      <c r="T242" s="115">
        <v>55</v>
      </c>
      <c r="U242" s="115">
        <f t="shared" ref="U242" si="22">SUM(G242:T242)-N242</f>
        <v>225</v>
      </c>
      <c r="V242" s="107">
        <f t="shared" ref="V242" si="23">G242+H242+I242+J242+K242+L242+M242+O242+P242+Q242+R242+S242+T242-U242</f>
        <v>0</v>
      </c>
      <c r="W242" s="16">
        <f>N242+O242-'додаток сесія_2024_2028_161 (2'!O240</f>
        <v>-31</v>
      </c>
    </row>
    <row r="243" spans="1:23" ht="78" customHeight="1" x14ac:dyDescent="0.2">
      <c r="A243" s="589"/>
      <c r="B243" s="588"/>
      <c r="C243" s="37" t="s">
        <v>444</v>
      </c>
      <c r="D243" s="293" t="s">
        <v>88</v>
      </c>
      <c r="E243" s="539" t="s">
        <v>443</v>
      </c>
      <c r="F243" s="293" t="s">
        <v>13</v>
      </c>
      <c r="G243" s="115">
        <v>0</v>
      </c>
      <c r="H243" s="115">
        <v>0</v>
      </c>
      <c r="I243" s="115">
        <v>0</v>
      </c>
      <c r="J243" s="115">
        <v>0</v>
      </c>
      <c r="K243" s="115">
        <v>0</v>
      </c>
      <c r="L243" s="115">
        <v>0</v>
      </c>
      <c r="M243" s="115">
        <v>0</v>
      </c>
      <c r="N243" s="15">
        <f t="shared" si="13"/>
        <v>0</v>
      </c>
      <c r="O243" s="115">
        <v>0</v>
      </c>
      <c r="P243" s="115">
        <v>750</v>
      </c>
      <c r="Q243" s="115">
        <v>0</v>
      </c>
      <c r="R243" s="115">
        <v>0</v>
      </c>
      <c r="S243" s="115">
        <v>0</v>
      </c>
      <c r="T243" s="115">
        <v>0</v>
      </c>
      <c r="U243" s="115">
        <f t="shared" si="20"/>
        <v>750</v>
      </c>
      <c r="V243" s="107">
        <f t="shared" si="12"/>
        <v>0</v>
      </c>
      <c r="W243" s="16">
        <f>N243+O243-'додаток сесія_2024_2028_161 (2'!O241</f>
        <v>0</v>
      </c>
    </row>
    <row r="244" spans="1:23" ht="41.25" hidden="1" customHeight="1" x14ac:dyDescent="0.2">
      <c r="A244" s="582" t="s">
        <v>91</v>
      </c>
      <c r="B244" s="582"/>
      <c r="C244" s="583"/>
      <c r="D244" s="583"/>
      <c r="E244" s="584"/>
      <c r="F244" s="540" t="s">
        <v>13</v>
      </c>
      <c r="G244" s="541">
        <f>G240+G241+G243</f>
        <v>0</v>
      </c>
      <c r="H244" s="541">
        <f t="shared" ref="H244:M244" si="24">H240+H241+H243</f>
        <v>300</v>
      </c>
      <c r="I244" s="541">
        <f t="shared" si="24"/>
        <v>0</v>
      </c>
      <c r="J244" s="541">
        <f t="shared" si="24"/>
        <v>0</v>
      </c>
      <c r="K244" s="541">
        <f t="shared" si="24"/>
        <v>0</v>
      </c>
      <c r="L244" s="541">
        <f t="shared" si="24"/>
        <v>1500</v>
      </c>
      <c r="M244" s="541">
        <f t="shared" si="24"/>
        <v>0</v>
      </c>
      <c r="N244" s="541">
        <f>G244+H244+I244+J244+K244+L244+M244</f>
        <v>1800</v>
      </c>
      <c r="O244" s="541">
        <f>O240+O241++O242+O243</f>
        <v>0</v>
      </c>
      <c r="P244" s="541">
        <f>P240+P241++P242+P243</f>
        <v>835</v>
      </c>
      <c r="Q244" s="541">
        <f t="shared" ref="Q244:T244" si="25">Q240+Q241++Q242+Q243</f>
        <v>95</v>
      </c>
      <c r="R244" s="541">
        <f t="shared" si="25"/>
        <v>106</v>
      </c>
      <c r="S244" s="541">
        <f t="shared" si="25"/>
        <v>117</v>
      </c>
      <c r="T244" s="541">
        <f t="shared" si="25"/>
        <v>130</v>
      </c>
      <c r="U244" s="541">
        <f>SUM(G244:T244)-N244</f>
        <v>3083</v>
      </c>
      <c r="V244" s="107">
        <f t="shared" si="12"/>
        <v>0</v>
      </c>
      <c r="W244" s="16">
        <f>N244+O244-'додаток сесія_2024_2028_161 (2'!O242</f>
        <v>0</v>
      </c>
    </row>
    <row r="245" spans="1:23" ht="46.5" hidden="1" customHeight="1" x14ac:dyDescent="0.2">
      <c r="A245" s="585" t="s">
        <v>241</v>
      </c>
      <c r="B245" s="585"/>
      <c r="C245" s="176"/>
      <c r="D245" s="177"/>
      <c r="E245" s="464"/>
      <c r="F245" s="143" t="s">
        <v>13</v>
      </c>
      <c r="G245" s="179">
        <f t="shared" ref="G245:T245" si="26">G239+G80+G217+G234+G244</f>
        <v>254461.71999999997</v>
      </c>
      <c r="H245" s="179">
        <f t="shared" si="26"/>
        <v>419562.19999999995</v>
      </c>
      <c r="I245" s="179">
        <f t="shared" si="26"/>
        <v>461134.5</v>
      </c>
      <c r="J245" s="179">
        <f t="shared" si="26"/>
        <v>614158.40000000014</v>
      </c>
      <c r="K245" s="179">
        <f t="shared" si="26"/>
        <v>910764.79</v>
      </c>
      <c r="L245" s="179">
        <f t="shared" si="26"/>
        <v>2006163.4</v>
      </c>
      <c r="M245" s="179">
        <f t="shared" si="26"/>
        <v>2130497.2000000002</v>
      </c>
      <c r="N245" s="179">
        <f t="shared" si="26"/>
        <v>6796742.21</v>
      </c>
      <c r="O245" s="179">
        <f t="shared" si="26"/>
        <v>2120341.898</v>
      </c>
      <c r="P245" s="179">
        <f>P239+P80+P217+P234+P244</f>
        <v>1849788.28614</v>
      </c>
      <c r="Q245" s="179">
        <f t="shared" si="26"/>
        <v>2907043.7037400003</v>
      </c>
      <c r="R245" s="179">
        <f t="shared" si="26"/>
        <v>2684521.9948199997</v>
      </c>
      <c r="S245" s="179">
        <f t="shared" si="26"/>
        <v>2950088.7464736402</v>
      </c>
      <c r="T245" s="179">
        <f t="shared" si="26"/>
        <v>3282699.7496440914</v>
      </c>
      <c r="U245" s="179">
        <f>SUM(G245:T245)-N245</f>
        <v>22591226.588817731</v>
      </c>
      <c r="V245" s="107">
        <f t="shared" si="12"/>
        <v>0</v>
      </c>
      <c r="W245" s="16">
        <f>N245+O245-'додаток сесія_2024_2028_161 (2'!O243</f>
        <v>0</v>
      </c>
    </row>
    <row r="246" spans="1:23" ht="48.75" customHeight="1" x14ac:dyDescent="0.2">
      <c r="A246" s="180"/>
      <c r="B246" s="586" t="s">
        <v>437</v>
      </c>
      <c r="C246" s="586"/>
      <c r="D246" s="586"/>
      <c r="E246" s="586"/>
      <c r="F246" s="586"/>
      <c r="G246" s="586"/>
      <c r="H246" s="586"/>
      <c r="I246" s="586"/>
      <c r="J246" s="586"/>
      <c r="K246" s="586"/>
      <c r="L246" s="586"/>
      <c r="M246" s="586"/>
      <c r="N246" s="586"/>
      <c r="O246" s="586"/>
      <c r="P246" s="586"/>
      <c r="Q246" s="586"/>
      <c r="R246" s="586"/>
      <c r="S246" s="586"/>
      <c r="T246" s="586"/>
      <c r="U246" s="586"/>
      <c r="V246" s="107" t="e">
        <f>SUM(V13:V245)</f>
        <v>#REF!</v>
      </c>
      <c r="W246" s="16"/>
    </row>
    <row r="247" spans="1:23" ht="63" customHeight="1" x14ac:dyDescent="0.25">
      <c r="B247" s="187" t="s">
        <v>124</v>
      </c>
      <c r="D247" s="187"/>
      <c r="E247" s="187"/>
      <c r="W247" s="16"/>
    </row>
    <row r="248" spans="1:23" s="17" customFormat="1" ht="84.75" customHeight="1" x14ac:dyDescent="0.4">
      <c r="B248" s="577" t="s">
        <v>361</v>
      </c>
      <c r="C248" s="577"/>
      <c r="D248" s="577"/>
      <c r="E248" s="577"/>
      <c r="F248" s="548" t="s">
        <v>445</v>
      </c>
      <c r="G248" s="549"/>
      <c r="H248" s="549"/>
      <c r="I248" s="549"/>
      <c r="J248" s="549"/>
      <c r="K248" s="549"/>
      <c r="N248" s="548"/>
      <c r="O248" s="548"/>
      <c r="W248" s="16"/>
    </row>
    <row r="249" spans="1:23" s="17" customFormat="1" x14ac:dyDescent="0.2">
      <c r="C249" s="188"/>
      <c r="W249" s="16"/>
    </row>
    <row r="250" spans="1:23" x14ac:dyDescent="0.2">
      <c r="W250" s="16"/>
    </row>
    <row r="251" spans="1:23" x14ac:dyDescent="0.2">
      <c r="W251" s="16"/>
    </row>
    <row r="252" spans="1:23" x14ac:dyDescent="0.2">
      <c r="W252" s="16"/>
    </row>
    <row r="253" spans="1:23" x14ac:dyDescent="0.2">
      <c r="G253" s="107">
        <f>G245-'[1]додаток сесія_1901_решение'!G246</f>
        <v>0</v>
      </c>
      <c r="H253" s="107">
        <f>H245-'[1]додаток сесія_1901_решение'!H246</f>
        <v>0</v>
      </c>
      <c r="I253" s="107">
        <f>I245-'[1]додаток сесія_1901_решение'!I246</f>
        <v>0</v>
      </c>
      <c r="J253" s="107">
        <f>J245-'[1]додаток сесія_1901_решение'!J246</f>
        <v>0</v>
      </c>
      <c r="K253" s="107">
        <f>K245-'[1]додаток сесія_1901_решение'!K246</f>
        <v>0</v>
      </c>
      <c r="L253" s="107">
        <f>L245-'[1]додаток сесія_1901_решение'!L246</f>
        <v>0</v>
      </c>
      <c r="M253" s="107">
        <f>M245-'[1]додаток сесія_1901_решение'!M246</f>
        <v>0</v>
      </c>
      <c r="N253" s="107"/>
      <c r="O253" s="107">
        <f>O245-'[1]додаток сесія_1901_решение'!N246</f>
        <v>-1.999999862164259E-3</v>
      </c>
      <c r="P253" s="107"/>
      <c r="Q253" s="107"/>
      <c r="R253" s="107"/>
      <c r="S253" s="107"/>
      <c r="T253" s="107"/>
      <c r="U253" s="107">
        <f>U245-'[1]додаток сесія_1901_решение'!O246</f>
        <v>13674142.478817729</v>
      </c>
      <c r="V253" s="107">
        <f>P245+Q245+R245+S245+T245</f>
        <v>13674142.480817731</v>
      </c>
      <c r="W253" s="16"/>
    </row>
    <row r="254" spans="1:23" x14ac:dyDescent="0.2">
      <c r="G254" s="107">
        <f>G217-'[1]додаток сесія_1901_решение'!G212</f>
        <v>0</v>
      </c>
      <c r="H254" s="107">
        <f>H217-'[1]додаток сесія_1901_решение'!H212</f>
        <v>0</v>
      </c>
      <c r="I254" s="107">
        <f>I217-'[1]додаток сесія_1901_решение'!I212</f>
        <v>0</v>
      </c>
      <c r="J254" s="107">
        <f>J217-'[1]додаток сесія_1901_решение'!J212</f>
        <v>0</v>
      </c>
      <c r="K254" s="107">
        <f>K217-'[1]додаток сесія_1901_решение'!K212</f>
        <v>0</v>
      </c>
      <c r="L254" s="107">
        <f>L217-'[1]додаток сесія_1901_решение'!L212</f>
        <v>0</v>
      </c>
      <c r="M254" s="107">
        <f>M217-'[1]додаток сесія_1901_решение'!M212</f>
        <v>0</v>
      </c>
      <c r="N254" s="107"/>
      <c r="O254" s="107">
        <f>O217-'[1]додаток сесія_1901_решение'!N212</f>
        <v>0</v>
      </c>
      <c r="P254" s="107"/>
      <c r="Q254" s="107"/>
      <c r="R254" s="107"/>
      <c r="S254" s="107"/>
      <c r="T254" s="107"/>
      <c r="U254" s="107">
        <f>U217-'[1]додаток сесія_1901_решение'!O212</f>
        <v>6250225.7986877356</v>
      </c>
      <c r="V254" s="107">
        <f>U245-V253</f>
        <v>8917084.1079999991</v>
      </c>
      <c r="W254" s="16"/>
    </row>
    <row r="255" spans="1:23" x14ac:dyDescent="0.2">
      <c r="G255" s="107">
        <f>G80-'[1]додаток сесія_1901_решение'!G88</f>
        <v>0</v>
      </c>
      <c r="H255" s="107">
        <f>H80-'[1]додаток сесія_1901_решение'!H88</f>
        <v>0</v>
      </c>
      <c r="I255" s="107">
        <f>I80-'[1]додаток сесія_1901_решение'!I88</f>
        <v>0</v>
      </c>
      <c r="J255" s="107">
        <f>J80-'[1]додаток сесія_1901_решение'!J88</f>
        <v>0</v>
      </c>
      <c r="K255" s="107">
        <f>K80-'[1]додаток сесія_1901_решение'!K88</f>
        <v>0</v>
      </c>
      <c r="L255" s="107">
        <f>L80-'[1]додаток сесія_1901_решение'!L88</f>
        <v>0</v>
      </c>
      <c r="M255" s="107">
        <f>M80-'[1]додаток сесія_1901_решение'!M88</f>
        <v>0</v>
      </c>
      <c r="N255" s="107"/>
      <c r="O255" s="107">
        <f>O80-'[1]додаток сесія_1901_решение'!N88</f>
        <v>0</v>
      </c>
      <c r="P255" s="107"/>
      <c r="Q255" s="107"/>
      <c r="R255" s="107"/>
      <c r="S255" s="107"/>
      <c r="T255" s="107"/>
      <c r="U255" s="107">
        <f>U80-'[1]додаток сесія_1901_решение'!O88</f>
        <v>7422633.6821300006</v>
      </c>
      <c r="W255" s="16"/>
    </row>
    <row r="256" spans="1:23" x14ac:dyDescent="0.2">
      <c r="G256" s="107">
        <f>G80-'[1]додаток сесія_1901_решение'!G88</f>
        <v>0</v>
      </c>
      <c r="H256" s="107">
        <f>H80-'[1]додаток сесія_1901_решение'!H88</f>
        <v>0</v>
      </c>
      <c r="I256" s="107">
        <f>I80-'[1]додаток сесія_1901_решение'!I88</f>
        <v>0</v>
      </c>
      <c r="J256" s="107">
        <f>J80-'[1]додаток сесія_1901_решение'!J88</f>
        <v>0</v>
      </c>
      <c r="K256" s="107">
        <f>K80-'[1]додаток сесія_1901_решение'!K88</f>
        <v>0</v>
      </c>
      <c r="L256" s="107">
        <f>L80-'[1]додаток сесія_1901_решение'!L88</f>
        <v>0</v>
      </c>
      <c r="M256" s="107">
        <f>M80-'[1]додаток сесія_1901_решение'!M88</f>
        <v>0</v>
      </c>
      <c r="N256" s="107"/>
      <c r="O256" s="107">
        <f>O80-'[1]додаток сесія_1901_решение'!N88</f>
        <v>0</v>
      </c>
      <c r="P256" s="107"/>
      <c r="Q256" s="107"/>
      <c r="R256" s="107"/>
      <c r="S256" s="107"/>
      <c r="T256" s="107"/>
      <c r="U256" s="107">
        <f>U80-'[1]додаток сесія_1901_решение'!O88</f>
        <v>7422633.6821300006</v>
      </c>
      <c r="W256" s="16"/>
    </row>
    <row r="257" spans="7:23" x14ac:dyDescent="0.2">
      <c r="G257" s="107">
        <f>G217-'[1]додаток сесія_1901_решение'!G212</f>
        <v>0</v>
      </c>
      <c r="H257" s="107">
        <f>H217-'[1]додаток сесія_1901_решение'!H212</f>
        <v>0</v>
      </c>
      <c r="I257" s="107">
        <f>I217-'[1]додаток сесія_1901_решение'!I212</f>
        <v>0</v>
      </c>
      <c r="J257" s="107">
        <f>J217-'[1]додаток сесія_1901_решение'!J212</f>
        <v>0</v>
      </c>
      <c r="K257" s="107">
        <f>K217-'[1]додаток сесія_1901_решение'!K212</f>
        <v>0</v>
      </c>
      <c r="L257" s="107">
        <f>L217-'[1]додаток сесія_1901_решение'!L212</f>
        <v>0</v>
      </c>
      <c r="M257" s="107">
        <f>M217-'[1]додаток сесія_1901_решение'!M212</f>
        <v>0</v>
      </c>
      <c r="N257" s="107"/>
      <c r="O257" s="107">
        <f>O217-'[1]додаток сесія_1901_решение'!N212</f>
        <v>0</v>
      </c>
      <c r="P257" s="107"/>
      <c r="Q257" s="107"/>
      <c r="R257" s="107"/>
      <c r="S257" s="107"/>
      <c r="T257" s="107"/>
      <c r="U257" s="107">
        <f>U217-'[1]додаток сесія_1901_решение'!O212</f>
        <v>6250225.7986877356</v>
      </c>
      <c r="W257" s="16"/>
    </row>
    <row r="258" spans="7:23" x14ac:dyDescent="0.2">
      <c r="G258" s="107">
        <f>G234-'[1]додаток сесія_1901_решение'!G234</f>
        <v>0</v>
      </c>
      <c r="H258" s="107">
        <f>H234-'[1]додаток сесія_1901_решение'!H234</f>
        <v>0</v>
      </c>
      <c r="I258" s="107">
        <f>I234-'[1]додаток сесія_1901_решение'!I234</f>
        <v>0</v>
      </c>
      <c r="J258" s="107">
        <f>J234-'[1]додаток сесія_1901_решение'!J234</f>
        <v>0</v>
      </c>
      <c r="K258" s="107">
        <f>K234-'[1]додаток сесія_1901_решение'!K234</f>
        <v>0</v>
      </c>
      <c r="L258" s="107">
        <f>L234-'[1]додаток сесія_1901_решение'!L234</f>
        <v>0</v>
      </c>
      <c r="M258" s="107">
        <f>M234-'[1]додаток сесія_1901_решение'!M234</f>
        <v>0</v>
      </c>
      <c r="N258" s="107"/>
      <c r="O258" s="107">
        <f>O234-'[1]додаток сесія_1901_решение'!N234</f>
        <v>-2.0000000004074536E-3</v>
      </c>
      <c r="P258" s="107"/>
      <c r="Q258" s="107"/>
      <c r="R258" s="107"/>
      <c r="S258" s="107"/>
      <c r="T258" s="107"/>
      <c r="U258" s="107">
        <f>U234-'[1]додаток сесія_1901_решение'!O234</f>
        <v>-1.9999999785795808E-3</v>
      </c>
      <c r="W258" s="16"/>
    </row>
    <row r="259" spans="7:23" x14ac:dyDescent="0.2">
      <c r="W259" s="16"/>
    </row>
    <row r="260" spans="7:23" x14ac:dyDescent="0.2">
      <c r="G260" s="107">
        <f>G80-'[1]додаток сесія_актуальна'!G91</f>
        <v>0</v>
      </c>
      <c r="H260" s="107">
        <f>H80-'[1]додаток сесія_актуальна'!H91</f>
        <v>0</v>
      </c>
      <c r="I260" s="107">
        <f>I80-'[1]додаток сесія_актуальна'!I91</f>
        <v>0</v>
      </c>
      <c r="J260" s="107">
        <f>J80-'[1]додаток сесія_актуальна'!J91</f>
        <v>0</v>
      </c>
      <c r="K260" s="107">
        <f>K80-'[1]додаток сесія_актуальна'!K91</f>
        <v>0</v>
      </c>
      <c r="L260" s="107">
        <f>L80-'[1]додаток сесія_актуальна'!L91</f>
        <v>0</v>
      </c>
      <c r="M260" s="107">
        <f>M80-'[1]додаток сесія_актуальна'!M91</f>
        <v>0</v>
      </c>
      <c r="N260" s="107"/>
      <c r="O260" s="107">
        <f>O80-'[1]додаток сесія_актуальна'!N91</f>
        <v>0</v>
      </c>
      <c r="P260" s="107"/>
      <c r="Q260" s="107"/>
      <c r="R260" s="107"/>
      <c r="S260" s="107"/>
      <c r="T260" s="107"/>
      <c r="U260" s="107">
        <f>U80-'[1]додаток сесія_актуальна'!O91</f>
        <v>7422633.6821300006</v>
      </c>
      <c r="W260" s="16"/>
    </row>
    <row r="261" spans="7:23" x14ac:dyDescent="0.2">
      <c r="G261" s="107">
        <f>G217-'[1]додаток сесія_актуальна'!G219</f>
        <v>0</v>
      </c>
      <c r="H261" s="107">
        <f>H217-'[1]додаток сесія_актуальна'!H219</f>
        <v>0</v>
      </c>
      <c r="I261" s="107">
        <f>I217-'[1]додаток сесія_актуальна'!I219</f>
        <v>0</v>
      </c>
      <c r="J261" s="107">
        <f>J217-'[1]додаток сесія_актуальна'!J219</f>
        <v>0</v>
      </c>
      <c r="K261" s="107">
        <f>K217-'[1]додаток сесія_актуальна'!K219</f>
        <v>0</v>
      </c>
      <c r="L261" s="107">
        <f>L217-'[1]додаток сесія_актуальна'!L219</f>
        <v>0</v>
      </c>
      <c r="M261" s="107">
        <f>M217-'[1]додаток сесія_актуальна'!M219</f>
        <v>0</v>
      </c>
      <c r="N261" s="107"/>
      <c r="O261" s="107">
        <f>O217-'[1]додаток сесія_актуальна'!N219</f>
        <v>0</v>
      </c>
      <c r="P261" s="107"/>
      <c r="Q261" s="107"/>
      <c r="R261" s="107"/>
      <c r="S261" s="107"/>
      <c r="T261" s="107"/>
      <c r="U261" s="107">
        <f>U217-'[1]додаток сесія_актуальна'!O219</f>
        <v>6250225.7986877356</v>
      </c>
      <c r="W261" s="16"/>
    </row>
    <row r="262" spans="7:23" x14ac:dyDescent="0.2">
      <c r="W262" s="16"/>
    </row>
    <row r="263" spans="7:23" x14ac:dyDescent="0.2">
      <c r="G263" s="107">
        <f>G245-'[1]додаток сесія_актуальна'!G254</f>
        <v>0</v>
      </c>
      <c r="H263" s="107">
        <f>H245-'[1]додаток сесія_актуальна'!H254</f>
        <v>0</v>
      </c>
      <c r="I263" s="107">
        <f>I245-'[1]додаток сесія_актуальна'!I254</f>
        <v>0</v>
      </c>
      <c r="J263" s="107">
        <f>J245-'[1]додаток сесія_актуальна'!J254</f>
        <v>0</v>
      </c>
      <c r="K263" s="107">
        <f>K245-'[1]додаток сесія_актуальна'!K254</f>
        <v>0</v>
      </c>
      <c r="L263" s="107">
        <f>L245-'[1]додаток сесія_актуальна'!L254</f>
        <v>0</v>
      </c>
      <c r="M263" s="107">
        <f>M245-'[1]додаток сесія_актуальна'!M254</f>
        <v>0</v>
      </c>
      <c r="N263" s="107"/>
      <c r="O263" s="107">
        <f>O245-'[1]додаток сесія_актуальна'!N254</f>
        <v>0</v>
      </c>
      <c r="P263" s="107"/>
      <c r="Q263" s="107"/>
      <c r="R263" s="107"/>
      <c r="S263" s="107"/>
      <c r="T263" s="107"/>
      <c r="U263" s="107">
        <f>G245+H245+I245+J245+K245+L245+M245+O245-'[1]додаток сесія_актуальна'!O254</f>
        <v>0</v>
      </c>
    </row>
    <row r="265" spans="7:23" x14ac:dyDescent="0.2">
      <c r="G265" s="107">
        <f t="shared" ref="G265:M265" si="27">SUM(G13:G244)-G40-G80-G217-G234-G239-G244</f>
        <v>254461.71999999994</v>
      </c>
      <c r="H265" s="107">
        <f t="shared" si="27"/>
        <v>419562.19999999995</v>
      </c>
      <c r="I265" s="107">
        <f t="shared" si="27"/>
        <v>461134.5</v>
      </c>
      <c r="J265" s="107">
        <f t="shared" si="27"/>
        <v>614158.4</v>
      </c>
      <c r="K265" s="107">
        <f t="shared" si="27"/>
        <v>910764.79</v>
      </c>
      <c r="L265" s="107">
        <f t="shared" si="27"/>
        <v>2006163.3999999997</v>
      </c>
      <c r="M265" s="107">
        <f t="shared" si="27"/>
        <v>2130497.2000000007</v>
      </c>
      <c r="N265" s="107"/>
      <c r="O265" s="107">
        <f t="shared" ref="O265:U265" si="28">SUM(O13:O244)-O40-O80-O217-O234-O239-O244</f>
        <v>2120341.8979999986</v>
      </c>
      <c r="P265" s="107">
        <f t="shared" si="28"/>
        <v>1849788.2861400002</v>
      </c>
      <c r="Q265" s="107">
        <f t="shared" si="28"/>
        <v>2907043.7037399998</v>
      </c>
      <c r="R265" s="107">
        <f t="shared" si="28"/>
        <v>2684521.9948200006</v>
      </c>
      <c r="S265" s="107">
        <f t="shared" si="28"/>
        <v>2950088.7464736402</v>
      </c>
      <c r="T265" s="107">
        <f t="shared" si="28"/>
        <v>3282699.7496440904</v>
      </c>
      <c r="U265" s="107" t="e">
        <f t="shared" si="28"/>
        <v>#REF!</v>
      </c>
    </row>
    <row r="266" spans="7:23" x14ac:dyDescent="0.2">
      <c r="G266" s="107">
        <f t="shared" ref="G266:M266" si="29">G265-G245</f>
        <v>0</v>
      </c>
      <c r="H266" s="107">
        <f t="shared" si="29"/>
        <v>0</v>
      </c>
      <c r="I266" s="107">
        <f t="shared" si="29"/>
        <v>0</v>
      </c>
      <c r="J266" s="107">
        <f t="shared" si="29"/>
        <v>0</v>
      </c>
      <c r="K266" s="107">
        <f t="shared" si="29"/>
        <v>0</v>
      </c>
      <c r="L266" s="107">
        <f t="shared" si="29"/>
        <v>0</v>
      </c>
      <c r="M266" s="107">
        <f t="shared" si="29"/>
        <v>0</v>
      </c>
      <c r="N266" s="107"/>
      <c r="O266" s="107">
        <f t="shared" ref="O266:U266" si="30">O265-O245</f>
        <v>0</v>
      </c>
      <c r="P266" s="107">
        <f t="shared" si="30"/>
        <v>0</v>
      </c>
      <c r="Q266" s="107">
        <f t="shared" si="30"/>
        <v>0</v>
      </c>
      <c r="R266" s="107">
        <f t="shared" si="30"/>
        <v>0</v>
      </c>
      <c r="S266" s="107">
        <f t="shared" si="30"/>
        <v>0</v>
      </c>
      <c r="T266" s="107">
        <f t="shared" si="30"/>
        <v>0</v>
      </c>
      <c r="U266" s="107" t="e">
        <f t="shared" si="30"/>
        <v>#REF!</v>
      </c>
    </row>
    <row r="267" spans="7:23" x14ac:dyDescent="0.2">
      <c r="G267" s="107">
        <f>G245-'[1]додаток сесія_актуальна'!G254</f>
        <v>0</v>
      </c>
      <c r="H267" s="107">
        <f>H245-'[1]додаток сесія_актуальна'!H254</f>
        <v>0</v>
      </c>
      <c r="I267" s="107">
        <f>I245-'[1]додаток сесія_актуальна'!I254</f>
        <v>0</v>
      </c>
      <c r="J267" s="107">
        <f>J245-'[1]додаток сесія_актуальна'!J254</f>
        <v>0</v>
      </c>
      <c r="K267" s="107">
        <f>K245-'[1]додаток сесія_актуальна'!K254</f>
        <v>0</v>
      </c>
      <c r="L267" s="107">
        <f>L245-'[1]додаток сесія_актуальна'!L254</f>
        <v>0</v>
      </c>
      <c r="M267" s="107">
        <f>M245-'[1]додаток сесія_актуальна'!M254</f>
        <v>0</v>
      </c>
      <c r="N267" s="107"/>
      <c r="O267" s="107">
        <f>O245-'[1]додаток сесія_актуальна'!N254</f>
        <v>0</v>
      </c>
    </row>
    <row r="268" spans="7:23" x14ac:dyDescent="0.2">
      <c r="G268" s="107">
        <f>G245-[1]проверкаЗагсум!G23</f>
        <v>0</v>
      </c>
      <c r="H268" s="107">
        <f>H245-[1]проверкаЗагсум!H23</f>
        <v>0</v>
      </c>
      <c r="I268" s="107">
        <f>I245-[1]проверкаЗагсум!I23</f>
        <v>0</v>
      </c>
      <c r="J268" s="107">
        <f>J245-[1]проверкаЗагсум!J23</f>
        <v>0</v>
      </c>
      <c r="K268" s="107">
        <f>K245-[1]проверкаЗагсум!K23</f>
        <v>0</v>
      </c>
      <c r="L268" s="107">
        <f>L245-[1]проверкаЗагсум!L23</f>
        <v>0</v>
      </c>
      <c r="M268" s="107">
        <f>M245-[1]проверкаЗагсум!M23</f>
        <v>0</v>
      </c>
      <c r="N268" s="107"/>
      <c r="O268" s="107">
        <f>O245-[1]проверкаЗагсум!N23</f>
        <v>0</v>
      </c>
      <c r="P268" s="107">
        <f>P245-[1]проверкаЗагсум!O23</f>
        <v>750</v>
      </c>
      <c r="Q268" s="107">
        <f>Q245-[1]проверкаЗагсум!P23</f>
        <v>0</v>
      </c>
      <c r="R268" s="107">
        <f>R245-[1]проверкаЗагсум!Q23</f>
        <v>0</v>
      </c>
      <c r="S268" s="107">
        <f>S245-[1]проверкаЗагсум!R23</f>
        <v>0</v>
      </c>
      <c r="T268" s="107">
        <f>T245-[1]проверкаЗагсум!S23</f>
        <v>0</v>
      </c>
      <c r="U268" s="107">
        <f>U245-[1]проверкаЗагсум!T23</f>
        <v>750</v>
      </c>
    </row>
  </sheetData>
  <sheetProtection selectLockedCells="1" selectUnlockedCells="1"/>
  <mergeCells count="48">
    <mergeCell ref="B248:E248"/>
    <mergeCell ref="A234:B234"/>
    <mergeCell ref="A239:B239"/>
    <mergeCell ref="C239:E239"/>
    <mergeCell ref="A244:B244"/>
    <mergeCell ref="C244:E244"/>
    <mergeCell ref="A245:B245"/>
    <mergeCell ref="B246:U246"/>
    <mergeCell ref="E241:E242"/>
    <mergeCell ref="B240:B243"/>
    <mergeCell ref="A240:A243"/>
    <mergeCell ref="B218:B224"/>
    <mergeCell ref="E218:E221"/>
    <mergeCell ref="E222:E223"/>
    <mergeCell ref="S10:S11"/>
    <mergeCell ref="T10:T11"/>
    <mergeCell ref="L10:L11"/>
    <mergeCell ref="B78:B79"/>
    <mergeCell ref="E78:E79"/>
    <mergeCell ref="A80:B80"/>
    <mergeCell ref="A217:B217"/>
    <mergeCell ref="C217:E217"/>
    <mergeCell ref="A36:A39"/>
    <mergeCell ref="A60:A61"/>
    <mergeCell ref="B68:B70"/>
    <mergeCell ref="A69:A70"/>
    <mergeCell ref="M10:M11"/>
    <mergeCell ref="G10:G11"/>
    <mergeCell ref="H10:H11"/>
    <mergeCell ref="I10:I11"/>
    <mergeCell ref="J10:J11"/>
    <mergeCell ref="K10:K11"/>
    <mergeCell ref="L4:U4"/>
    <mergeCell ref="M5:U5"/>
    <mergeCell ref="A6:U6"/>
    <mergeCell ref="A8:A11"/>
    <mergeCell ref="B8:B11"/>
    <mergeCell ref="C8:C11"/>
    <mergeCell ref="D8:D11"/>
    <mergeCell ref="E8:E11"/>
    <mergeCell ref="F8:F11"/>
    <mergeCell ref="G8:U9"/>
    <mergeCell ref="U10:U11"/>
    <mergeCell ref="N10:N11"/>
    <mergeCell ref="O10:O11"/>
    <mergeCell ref="P10:P11"/>
    <mergeCell ref="Q10:Q11"/>
    <mergeCell ref="R10:R11"/>
  </mergeCells>
  <printOptions horizontalCentered="1"/>
  <pageMargins left="0.39370078740157483" right="0.39370078740157483" top="0.59055118110236227" bottom="0.39370078740157483" header="0.43307086614173229" footer="0"/>
  <pageSetup paperSize="9" scale="58" firstPageNumber="0" fitToHeight="17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2" manualBreakCount="2">
    <brk id="64" min="1" max="20" man="1"/>
    <brk id="80" min="1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6"/>
  <sheetViews>
    <sheetView view="pageBreakPreview" zoomScale="91" zoomScaleNormal="100" zoomScaleSheetLayoutView="91" workbookViewId="0">
      <selection activeCell="C19" sqref="C19"/>
    </sheetView>
  </sheetViews>
  <sheetFormatPr defaultRowHeight="13.5" x14ac:dyDescent="0.2"/>
  <cols>
    <col min="1" max="1" width="5.85546875" style="1" customWidth="1"/>
    <col min="2" max="2" width="17.140625" style="1" customWidth="1"/>
    <col min="3" max="3" width="62.85546875" style="2" customWidth="1"/>
    <col min="4" max="4" width="7.7109375" style="1" customWidth="1"/>
    <col min="5" max="5" width="20" style="1" customWidth="1"/>
    <col min="6" max="6" width="22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2.85546875" style="1" customWidth="1"/>
    <col min="15" max="15" width="13.140625" style="1" customWidth="1"/>
    <col min="16" max="16" width="12.42578125" style="1" customWidth="1"/>
    <col min="17" max="17" width="13" style="1" customWidth="1"/>
    <col min="18" max="18" width="13.140625" style="1" customWidth="1"/>
    <col min="19" max="19" width="13.7109375" style="1" customWidth="1"/>
    <col min="20" max="20" width="13.28515625" style="1" customWidth="1"/>
    <col min="21" max="21" width="14.28515625" style="1" customWidth="1"/>
    <col min="22" max="22" width="14.5703125" style="1" customWidth="1"/>
    <col min="23" max="23" width="13.42578125" style="1" customWidth="1"/>
    <col min="24" max="16384" width="9.140625" style="1"/>
  </cols>
  <sheetData>
    <row r="1" spans="1:23" ht="23.25" customHeight="1" x14ac:dyDescent="0.35">
      <c r="A1" s="4"/>
      <c r="B1" s="4"/>
      <c r="C1" s="5"/>
      <c r="D1" s="4"/>
      <c r="E1" s="4"/>
      <c r="F1" s="4"/>
      <c r="G1" s="4"/>
      <c r="H1" s="4"/>
      <c r="I1" s="6"/>
      <c r="J1" s="320"/>
      <c r="K1" s="320"/>
      <c r="L1" s="320"/>
      <c r="M1" s="320"/>
      <c r="N1" s="320"/>
      <c r="O1" s="320"/>
      <c r="P1" s="320"/>
      <c r="Q1" s="320"/>
      <c r="R1" s="495" t="s">
        <v>439</v>
      </c>
      <c r="S1" s="494"/>
      <c r="T1" s="320"/>
      <c r="U1" s="320"/>
    </row>
    <row r="2" spans="1:23" ht="19.5" customHeight="1" x14ac:dyDescent="0.35">
      <c r="A2" s="4"/>
      <c r="B2" s="4"/>
      <c r="C2" s="5"/>
      <c r="D2" s="4"/>
      <c r="E2" s="4"/>
      <c r="F2" s="4"/>
      <c r="G2" s="4"/>
      <c r="H2" s="4"/>
      <c r="I2" s="4"/>
      <c r="J2" s="321"/>
      <c r="K2" s="7"/>
      <c r="L2" s="7"/>
      <c r="M2" s="7"/>
      <c r="N2" s="338"/>
      <c r="O2" s="7"/>
      <c r="P2" s="7"/>
      <c r="Q2" s="7"/>
      <c r="R2" s="495" t="s">
        <v>438</v>
      </c>
      <c r="S2" s="494"/>
      <c r="T2" s="7"/>
      <c r="U2" s="7"/>
    </row>
    <row r="3" spans="1:23" ht="15.75" customHeight="1" x14ac:dyDescent="0.3">
      <c r="A3" s="4"/>
      <c r="B3" s="4"/>
      <c r="C3" s="5"/>
      <c r="D3" s="4"/>
      <c r="E3" s="4"/>
      <c r="F3" s="4"/>
      <c r="G3" s="4"/>
      <c r="H3" s="4"/>
      <c r="I3" s="4"/>
      <c r="J3" s="7"/>
      <c r="K3" s="7"/>
      <c r="L3" s="552"/>
      <c r="M3" s="553"/>
      <c r="N3" s="553"/>
      <c r="O3" s="553"/>
      <c r="P3" s="553"/>
      <c r="Q3" s="553"/>
      <c r="R3" s="553"/>
      <c r="S3" s="553"/>
      <c r="T3" s="553"/>
      <c r="U3" s="553"/>
    </row>
    <row r="4" spans="1:23" ht="15.75" customHeight="1" x14ac:dyDescent="0.3">
      <c r="A4" s="4"/>
      <c r="B4" s="4"/>
      <c r="C4" s="5"/>
      <c r="D4" s="4"/>
      <c r="E4" s="4"/>
      <c r="F4" s="4"/>
      <c r="G4" s="4"/>
      <c r="H4" s="4"/>
      <c r="I4" s="4"/>
      <c r="J4" s="8"/>
      <c r="K4" s="8"/>
      <c r="L4" s="8"/>
      <c r="M4" s="554"/>
      <c r="N4" s="554"/>
      <c r="O4" s="555"/>
      <c r="P4" s="555"/>
      <c r="Q4" s="555"/>
      <c r="R4" s="555"/>
      <c r="S4" s="555"/>
      <c r="T4" s="555"/>
      <c r="U4" s="555"/>
    </row>
    <row r="5" spans="1:23" ht="24" customHeight="1" x14ac:dyDescent="0.4">
      <c r="A5" s="556" t="s">
        <v>0</v>
      </c>
      <c r="B5" s="556"/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6"/>
      <c r="P5" s="556"/>
      <c r="Q5" s="556"/>
      <c r="R5" s="556"/>
      <c r="S5" s="556"/>
      <c r="T5" s="556"/>
      <c r="U5" s="556"/>
    </row>
    <row r="7" spans="1:23" ht="12.75" customHeight="1" x14ac:dyDescent="0.2">
      <c r="A7" s="608" t="s">
        <v>1</v>
      </c>
      <c r="B7" s="590" t="s">
        <v>2</v>
      </c>
      <c r="C7" s="608" t="s">
        <v>3</v>
      </c>
      <c r="D7" s="611" t="s">
        <v>4</v>
      </c>
      <c r="E7" s="611" t="s">
        <v>5</v>
      </c>
      <c r="F7" s="611" t="s">
        <v>399</v>
      </c>
      <c r="G7" s="590" t="s">
        <v>7</v>
      </c>
      <c r="H7" s="590"/>
      <c r="I7" s="590"/>
      <c r="J7" s="590"/>
      <c r="K7" s="590"/>
      <c r="L7" s="590"/>
      <c r="M7" s="590"/>
      <c r="N7" s="612"/>
      <c r="O7" s="590"/>
      <c r="P7" s="590"/>
      <c r="Q7" s="590"/>
      <c r="R7" s="590"/>
      <c r="S7" s="590"/>
      <c r="T7" s="590"/>
      <c r="U7" s="590"/>
    </row>
    <row r="8" spans="1:23" ht="12.75" x14ac:dyDescent="0.2">
      <c r="A8" s="609"/>
      <c r="B8" s="590"/>
      <c r="C8" s="609"/>
      <c r="D8" s="611"/>
      <c r="E8" s="611"/>
      <c r="F8" s="611"/>
      <c r="G8" s="590"/>
      <c r="H8" s="590"/>
      <c r="I8" s="590"/>
      <c r="J8" s="590"/>
      <c r="K8" s="590"/>
      <c r="L8" s="590"/>
      <c r="M8" s="590"/>
      <c r="N8" s="612"/>
      <c r="O8" s="590"/>
      <c r="P8" s="590"/>
      <c r="Q8" s="590"/>
      <c r="R8" s="590"/>
      <c r="S8" s="590"/>
      <c r="T8" s="590"/>
      <c r="U8" s="590"/>
    </row>
    <row r="9" spans="1:23" ht="12.75" customHeight="1" x14ac:dyDescent="0.2">
      <c r="A9" s="609"/>
      <c r="B9" s="590"/>
      <c r="C9" s="609"/>
      <c r="D9" s="611"/>
      <c r="E9" s="611"/>
      <c r="F9" s="611"/>
      <c r="G9" s="590">
        <v>2016</v>
      </c>
      <c r="H9" s="590">
        <v>2017</v>
      </c>
      <c r="I9" s="590">
        <v>2018</v>
      </c>
      <c r="J9" s="590">
        <v>2019</v>
      </c>
      <c r="K9" s="590">
        <v>2020</v>
      </c>
      <c r="L9" s="590">
        <v>2021</v>
      </c>
      <c r="M9" s="590">
        <v>2022</v>
      </c>
      <c r="N9" s="590" t="s">
        <v>388</v>
      </c>
      <c r="O9" s="590">
        <v>2023</v>
      </c>
      <c r="P9" s="590">
        <v>2024</v>
      </c>
      <c r="Q9" s="590">
        <v>2025</v>
      </c>
      <c r="R9" s="590">
        <v>2026</v>
      </c>
      <c r="S9" s="590">
        <v>2027</v>
      </c>
      <c r="T9" s="590">
        <v>2028</v>
      </c>
      <c r="U9" s="590" t="s">
        <v>8</v>
      </c>
    </row>
    <row r="10" spans="1:23" ht="20.25" customHeight="1" x14ac:dyDescent="0.2">
      <c r="A10" s="610"/>
      <c r="B10" s="590"/>
      <c r="C10" s="610"/>
      <c r="D10" s="611"/>
      <c r="E10" s="611"/>
      <c r="F10" s="611"/>
      <c r="G10" s="590"/>
      <c r="H10" s="590"/>
      <c r="I10" s="590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</row>
    <row r="11" spans="1:23" ht="21" customHeight="1" x14ac:dyDescent="0.2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475">
        <v>6</v>
      </c>
      <c r="G11" s="475"/>
      <c r="H11" s="475"/>
      <c r="I11" s="475"/>
      <c r="J11" s="475"/>
      <c r="K11" s="475"/>
      <c r="L11" s="475"/>
      <c r="M11" s="475"/>
      <c r="N11" s="475">
        <v>7</v>
      </c>
      <c r="O11" s="475">
        <v>8</v>
      </c>
      <c r="P11" s="475">
        <v>9</v>
      </c>
      <c r="Q11" s="475">
        <v>10</v>
      </c>
      <c r="R11" s="475">
        <v>11</v>
      </c>
      <c r="S11" s="475">
        <v>12</v>
      </c>
      <c r="T11" s="475">
        <v>13</v>
      </c>
      <c r="U11" s="475">
        <v>14</v>
      </c>
    </row>
    <row r="12" spans="1:23" s="17" customFormat="1" ht="57" customHeight="1" x14ac:dyDescent="0.2">
      <c r="A12" s="11">
        <v>1</v>
      </c>
      <c r="B12" s="591" t="s">
        <v>9</v>
      </c>
      <c r="C12" s="12" t="s">
        <v>10</v>
      </c>
      <c r="D12" s="13" t="s">
        <v>11</v>
      </c>
      <c r="E12" s="593" t="s">
        <v>400</v>
      </c>
      <c r="F12" s="55" t="s">
        <v>13</v>
      </c>
      <c r="G12" s="15">
        <v>73702.679999999993</v>
      </c>
      <c r="H12" s="15">
        <f>94537.8+830</f>
        <v>95367.8</v>
      </c>
      <c r="I12" s="15">
        <v>114042.5</v>
      </c>
      <c r="J12" s="15">
        <v>143546.20000000001</v>
      </c>
      <c r="K12" s="15">
        <v>227890.4</v>
      </c>
      <c r="L12" s="15">
        <f>59251.7+11539-1500+103.7+3900</f>
        <v>73294.399999999994</v>
      </c>
      <c r="M12" s="15">
        <v>0</v>
      </c>
      <c r="N12" s="15">
        <f>G12+H12+I12+J12+K12+L12+M12</f>
        <v>727843.98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f>SUM(G12:T12)-N12</f>
        <v>727843.98</v>
      </c>
      <c r="V12" s="16">
        <f t="shared" ref="V12:V75" si="0">G12+H12+I12+J12+K12+L12+M12+O12+P12+Q12+R12+S12+T12-U12</f>
        <v>0</v>
      </c>
      <c r="W12" s="16">
        <f>N12+O12-'додаток сесія_2024_2028_161 (2'!O12</f>
        <v>0</v>
      </c>
    </row>
    <row r="13" spans="1:23" s="17" customFormat="1" ht="110.25" customHeight="1" x14ac:dyDescent="0.2">
      <c r="A13" s="18"/>
      <c r="B13" s="592"/>
      <c r="C13" s="12" t="s">
        <v>14</v>
      </c>
      <c r="D13" s="13" t="s">
        <v>15</v>
      </c>
      <c r="E13" s="594"/>
      <c r="F13" s="55" t="s">
        <v>13</v>
      </c>
      <c r="G13" s="15">
        <v>9960</v>
      </c>
      <c r="H13" s="15">
        <v>9960</v>
      </c>
      <c r="I13" s="15">
        <v>400</v>
      </c>
      <c r="J13" s="15">
        <v>2102.1999999999998</v>
      </c>
      <c r="K13" s="15">
        <v>20800</v>
      </c>
      <c r="L13" s="15">
        <v>0</v>
      </c>
      <c r="M13" s="15">
        <v>0</v>
      </c>
      <c r="N13" s="15">
        <f t="shared" ref="N13:N76" si="1">G13+H13+I13+J13+K13+L13+M13</f>
        <v>43222.2</v>
      </c>
      <c r="O13" s="15">
        <f>0+5200</f>
        <v>5200</v>
      </c>
      <c r="P13" s="15">
        <v>5600</v>
      </c>
      <c r="Q13" s="15">
        <v>7000</v>
      </c>
      <c r="R13" s="15">
        <v>8000</v>
      </c>
      <c r="S13" s="15">
        <v>9000</v>
      </c>
      <c r="T13" s="15">
        <v>10000</v>
      </c>
      <c r="U13" s="15">
        <f t="shared" ref="U13:U76" si="2">SUM(G13:T13)-N13</f>
        <v>88022.2</v>
      </c>
      <c r="V13" s="16">
        <f t="shared" si="0"/>
        <v>0</v>
      </c>
      <c r="W13" s="16">
        <f>N13+O13-'додаток сесія_2024_2028_161 (2'!O13</f>
        <v>0</v>
      </c>
    </row>
    <row r="14" spans="1:23" s="17" customFormat="1" ht="48.75" customHeight="1" x14ac:dyDescent="0.2">
      <c r="A14" s="18"/>
      <c r="B14" s="19"/>
      <c r="C14" s="12" t="s">
        <v>16</v>
      </c>
      <c r="D14" s="13" t="s">
        <v>15</v>
      </c>
      <c r="E14" s="594"/>
      <c r="F14" s="55" t="s">
        <v>13</v>
      </c>
      <c r="G14" s="15">
        <v>17132.7</v>
      </c>
      <c r="H14" s="20">
        <v>15000</v>
      </c>
      <c r="I14" s="20">
        <v>8150</v>
      </c>
      <c r="J14" s="20">
        <v>7800</v>
      </c>
      <c r="K14" s="20">
        <v>13000</v>
      </c>
      <c r="L14" s="20">
        <v>12500</v>
      </c>
      <c r="M14" s="20">
        <v>13750</v>
      </c>
      <c r="N14" s="15">
        <f t="shared" si="1"/>
        <v>87332.7</v>
      </c>
      <c r="O14" s="20">
        <f>15125-5200</f>
        <v>9925</v>
      </c>
      <c r="P14" s="20">
        <v>0</v>
      </c>
      <c r="Q14" s="20">
        <v>20000</v>
      </c>
      <c r="R14" s="20">
        <v>22000</v>
      </c>
      <c r="S14" s="20">
        <v>18000</v>
      </c>
      <c r="T14" s="20">
        <v>20000</v>
      </c>
      <c r="U14" s="15">
        <f t="shared" si="2"/>
        <v>177257.7</v>
      </c>
      <c r="V14" s="16">
        <f t="shared" si="0"/>
        <v>0</v>
      </c>
      <c r="W14" s="16">
        <f>N14+O14-'додаток сесія_2024_2028_161 (2'!O14</f>
        <v>0</v>
      </c>
    </row>
    <row r="15" spans="1:23" s="17" customFormat="1" ht="46.5" customHeight="1" x14ac:dyDescent="0.2">
      <c r="A15" s="18"/>
      <c r="B15" s="19"/>
      <c r="C15" s="12" t="s">
        <v>17</v>
      </c>
      <c r="D15" s="13" t="s">
        <v>18</v>
      </c>
      <c r="E15" s="594"/>
      <c r="F15" s="55" t="s">
        <v>13</v>
      </c>
      <c r="G15" s="15">
        <v>100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>
        <f t="shared" si="1"/>
        <v>100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5">
        <f t="shared" si="2"/>
        <v>100</v>
      </c>
      <c r="V15" s="16">
        <f t="shared" si="0"/>
        <v>0</v>
      </c>
      <c r="W15" s="16">
        <f>N15+O15-'додаток сесія_2024_2028_161 (2'!O15</f>
        <v>0</v>
      </c>
    </row>
    <row r="16" spans="1:23" s="17" customFormat="1" ht="46.5" customHeight="1" x14ac:dyDescent="0.2">
      <c r="A16" s="18"/>
      <c r="B16" s="19"/>
      <c r="C16" s="12" t="s">
        <v>19</v>
      </c>
      <c r="D16" s="13" t="s">
        <v>18</v>
      </c>
      <c r="E16" s="594"/>
      <c r="F16" s="55" t="s">
        <v>13</v>
      </c>
      <c r="G16" s="15">
        <v>290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>
        <f t="shared" si="1"/>
        <v>290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5">
        <f t="shared" si="2"/>
        <v>290</v>
      </c>
      <c r="V16" s="16">
        <f t="shared" si="0"/>
        <v>0</v>
      </c>
      <c r="W16" s="16">
        <f>N16+O16-'додаток сесія_2024_2028_161 (2'!O16</f>
        <v>0</v>
      </c>
    </row>
    <row r="17" spans="1:23" s="17" customFormat="1" ht="42.75" customHeight="1" x14ac:dyDescent="0.2">
      <c r="A17" s="18"/>
      <c r="B17" s="19"/>
      <c r="C17" s="12" t="s">
        <v>20</v>
      </c>
      <c r="D17" s="13" t="s">
        <v>18</v>
      </c>
      <c r="E17" s="594"/>
      <c r="F17" s="55" t="s">
        <v>13</v>
      </c>
      <c r="G17" s="15">
        <v>60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>
        <f t="shared" si="1"/>
        <v>60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5">
        <f t="shared" si="2"/>
        <v>60</v>
      </c>
      <c r="V17" s="16">
        <f t="shared" si="0"/>
        <v>0</v>
      </c>
      <c r="W17" s="16">
        <f>N17+O17-'додаток сесія_2024_2028_161 (2'!O17</f>
        <v>0</v>
      </c>
    </row>
    <row r="18" spans="1:23" s="17" customFormat="1" ht="44.25" customHeight="1" x14ac:dyDescent="0.2">
      <c r="A18" s="18"/>
      <c r="B18" s="19"/>
      <c r="C18" s="12" t="s">
        <v>21</v>
      </c>
      <c r="D18" s="13" t="s">
        <v>18</v>
      </c>
      <c r="E18" s="594"/>
      <c r="F18" s="55" t="s">
        <v>13</v>
      </c>
      <c r="G18" s="15">
        <v>100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15">
        <f t="shared" si="1"/>
        <v>100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5">
        <f t="shared" si="2"/>
        <v>100</v>
      </c>
      <c r="V18" s="16">
        <f t="shared" si="0"/>
        <v>0</v>
      </c>
      <c r="W18" s="16">
        <f>N18+O18-'додаток сесія_2024_2028_161 (2'!O18</f>
        <v>0</v>
      </c>
    </row>
    <row r="19" spans="1:23" s="17" customFormat="1" ht="42" customHeight="1" x14ac:dyDescent="0.2">
      <c r="A19" s="18"/>
      <c r="B19" s="19"/>
      <c r="C19" s="12" t="s">
        <v>22</v>
      </c>
      <c r="D19" s="13" t="s">
        <v>15</v>
      </c>
      <c r="E19" s="472"/>
      <c r="F19" s="55" t="s">
        <v>13</v>
      </c>
      <c r="G19" s="20">
        <v>0</v>
      </c>
      <c r="H19" s="20">
        <v>3500</v>
      </c>
      <c r="I19" s="20">
        <v>1200</v>
      </c>
      <c r="J19" s="20">
        <v>20000</v>
      </c>
      <c r="K19" s="20">
        <v>12050</v>
      </c>
      <c r="L19" s="20">
        <v>15500</v>
      </c>
      <c r="M19" s="20">
        <v>3850</v>
      </c>
      <c r="N19" s="15">
        <f t="shared" si="1"/>
        <v>56100</v>
      </c>
      <c r="O19" s="20">
        <v>4235</v>
      </c>
      <c r="P19" s="20">
        <v>0</v>
      </c>
      <c r="Q19" s="20">
        <v>3500</v>
      </c>
      <c r="R19" s="20">
        <v>4000</v>
      </c>
      <c r="S19" s="20">
        <v>4500</v>
      </c>
      <c r="T19" s="20">
        <v>5000</v>
      </c>
      <c r="U19" s="15">
        <f t="shared" si="2"/>
        <v>77335</v>
      </c>
      <c r="V19" s="16">
        <f t="shared" si="0"/>
        <v>0</v>
      </c>
      <c r="W19" s="16">
        <f>N19+O19-'додаток сесія_2024_2028_161 (2'!O19</f>
        <v>0</v>
      </c>
    </row>
    <row r="20" spans="1:23" s="17" customFormat="1" ht="46.5" customHeight="1" x14ac:dyDescent="0.2">
      <c r="A20" s="22"/>
      <c r="B20" s="19"/>
      <c r="C20" s="12" t="s">
        <v>23</v>
      </c>
      <c r="D20" s="23" t="s">
        <v>18</v>
      </c>
      <c r="E20" s="473"/>
      <c r="F20" s="55" t="s">
        <v>13</v>
      </c>
      <c r="G20" s="20">
        <v>0</v>
      </c>
      <c r="H20" s="20">
        <v>200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>
        <f t="shared" si="1"/>
        <v>200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5">
        <f t="shared" si="2"/>
        <v>200</v>
      </c>
      <c r="V20" s="16">
        <f t="shared" si="0"/>
        <v>0</v>
      </c>
      <c r="W20" s="16">
        <f>N20+O20-'додаток сесія_2024_2028_161 (2'!O20</f>
        <v>0</v>
      </c>
    </row>
    <row r="21" spans="1:23" s="17" customFormat="1" ht="43.5" customHeight="1" x14ac:dyDescent="0.2">
      <c r="A21" s="18"/>
      <c r="B21" s="18"/>
      <c r="C21" s="12" t="s">
        <v>24</v>
      </c>
      <c r="D21" s="13" t="s">
        <v>18</v>
      </c>
      <c r="E21" s="473"/>
      <c r="F21" s="55" t="s">
        <v>13</v>
      </c>
      <c r="G21" s="20">
        <v>0</v>
      </c>
      <c r="H21" s="15">
        <v>60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>
        <f t="shared" si="1"/>
        <v>60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5">
        <f t="shared" si="2"/>
        <v>60</v>
      </c>
      <c r="V21" s="16">
        <f t="shared" si="0"/>
        <v>0</v>
      </c>
      <c r="W21" s="16">
        <f>N21+O21-'додаток сесія_2024_2028_161 (2'!O21</f>
        <v>0</v>
      </c>
    </row>
    <row r="22" spans="1:23" s="17" customFormat="1" ht="54.75" customHeight="1" x14ac:dyDescent="0.2">
      <c r="A22" s="18"/>
      <c r="B22" s="323"/>
      <c r="C22" s="25" t="s">
        <v>25</v>
      </c>
      <c r="D22" s="23" t="s">
        <v>18</v>
      </c>
      <c r="E22" s="473"/>
      <c r="F22" s="55" t="s">
        <v>13</v>
      </c>
      <c r="G22" s="20">
        <v>0</v>
      </c>
      <c r="H22" s="15">
        <v>150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5">
        <f t="shared" si="1"/>
        <v>150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5">
        <f t="shared" si="2"/>
        <v>150</v>
      </c>
      <c r="V22" s="16">
        <f t="shared" si="0"/>
        <v>0</v>
      </c>
      <c r="W22" s="16">
        <f>N22+O22-'додаток сесія_2024_2028_161 (2'!O22</f>
        <v>0</v>
      </c>
    </row>
    <row r="23" spans="1:23" s="17" customFormat="1" ht="44.25" customHeight="1" x14ac:dyDescent="0.2">
      <c r="A23" s="18"/>
      <c r="B23" s="18"/>
      <c r="C23" s="27" t="s">
        <v>26</v>
      </c>
      <c r="D23" s="28" t="s">
        <v>18</v>
      </c>
      <c r="E23" s="473"/>
      <c r="F23" s="55" t="s">
        <v>13</v>
      </c>
      <c r="G23" s="20">
        <v>0</v>
      </c>
      <c r="H23" s="15">
        <v>150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15">
        <f t="shared" si="1"/>
        <v>150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15">
        <f t="shared" si="2"/>
        <v>150</v>
      </c>
      <c r="V23" s="16">
        <f t="shared" si="0"/>
        <v>0</v>
      </c>
      <c r="W23" s="16">
        <f>N23+O23-'додаток сесія_2024_2028_161 (2'!O23</f>
        <v>0</v>
      </c>
    </row>
    <row r="24" spans="1:23" s="17" customFormat="1" ht="47.25" customHeight="1" x14ac:dyDescent="0.2">
      <c r="A24" s="18"/>
      <c r="B24" s="30"/>
      <c r="C24" s="12" t="s">
        <v>27</v>
      </c>
      <c r="D24" s="13" t="s">
        <v>15</v>
      </c>
      <c r="E24" s="473"/>
      <c r="F24" s="55" t="s">
        <v>13</v>
      </c>
      <c r="G24" s="20">
        <v>0</v>
      </c>
      <c r="H24" s="15">
        <v>5500</v>
      </c>
      <c r="I24" s="15">
        <v>42900</v>
      </c>
      <c r="J24" s="15">
        <v>11871.2</v>
      </c>
      <c r="K24" s="15">
        <v>11940.3</v>
      </c>
      <c r="L24" s="15">
        <v>6000</v>
      </c>
      <c r="M24" s="15">
        <v>0</v>
      </c>
      <c r="N24" s="15">
        <f t="shared" si="1"/>
        <v>78211.5</v>
      </c>
      <c r="O24" s="15">
        <v>0</v>
      </c>
      <c r="P24" s="15">
        <v>0</v>
      </c>
      <c r="Q24" s="15">
        <v>5000</v>
      </c>
      <c r="R24" s="15">
        <v>5000</v>
      </c>
      <c r="S24" s="15">
        <v>0</v>
      </c>
      <c r="T24" s="15">
        <v>0</v>
      </c>
      <c r="U24" s="15">
        <f t="shared" si="2"/>
        <v>88211.5</v>
      </c>
      <c r="V24" s="16">
        <f t="shared" si="0"/>
        <v>0</v>
      </c>
      <c r="W24" s="16">
        <f>N24+O24-'додаток сесія_2024_2028_161 (2'!O24</f>
        <v>0</v>
      </c>
    </row>
    <row r="25" spans="1:23" s="17" customFormat="1" ht="49.5" customHeight="1" x14ac:dyDescent="0.2">
      <c r="A25" s="325"/>
      <c r="B25" s="32"/>
      <c r="C25" s="12" t="s">
        <v>28</v>
      </c>
      <c r="D25" s="13" t="s">
        <v>29</v>
      </c>
      <c r="E25" s="474"/>
      <c r="F25" s="55" t="s">
        <v>13</v>
      </c>
      <c r="G25" s="15">
        <v>2000</v>
      </c>
      <c r="H25" s="15">
        <v>2000</v>
      </c>
      <c r="I25" s="15">
        <v>3250</v>
      </c>
      <c r="J25" s="15">
        <v>4600</v>
      </c>
      <c r="K25" s="15">
        <v>4000</v>
      </c>
      <c r="L25" s="15">
        <f>0+397.7</f>
        <v>397.7</v>
      </c>
      <c r="M25" s="15">
        <v>0</v>
      </c>
      <c r="N25" s="15">
        <f t="shared" si="1"/>
        <v>16247.7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f t="shared" si="2"/>
        <v>16247.7</v>
      </c>
      <c r="V25" s="16">
        <f t="shared" si="0"/>
        <v>0</v>
      </c>
      <c r="W25" s="16">
        <f>N25+O25-'додаток сесія_2024_2028_161 (2'!O25</f>
        <v>0</v>
      </c>
    </row>
    <row r="26" spans="1:23" s="17" customFormat="1" ht="47.25" customHeight="1" x14ac:dyDescent="0.2">
      <c r="A26" s="18"/>
      <c r="B26" s="30"/>
      <c r="C26" s="12" t="s">
        <v>30</v>
      </c>
      <c r="D26" s="13" t="s">
        <v>29</v>
      </c>
      <c r="E26" s="473"/>
      <c r="F26" s="55" t="s">
        <v>13</v>
      </c>
      <c r="G26" s="20">
        <v>100</v>
      </c>
      <c r="H26" s="15">
        <v>2000</v>
      </c>
      <c r="I26" s="15">
        <v>3100</v>
      </c>
      <c r="J26" s="15">
        <v>12000</v>
      </c>
      <c r="K26" s="15">
        <v>14573.5</v>
      </c>
      <c r="L26" s="15">
        <f>1017.3</f>
        <v>1017.3</v>
      </c>
      <c r="M26" s="15">
        <v>0</v>
      </c>
      <c r="N26" s="15">
        <f t="shared" si="1"/>
        <v>32790.800000000003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f t="shared" si="2"/>
        <v>32790.800000000003</v>
      </c>
      <c r="V26" s="16">
        <f t="shared" si="0"/>
        <v>0</v>
      </c>
      <c r="W26" s="16">
        <f>N26+O26-'додаток сесія_2024_2028_161 (2'!O26</f>
        <v>0</v>
      </c>
    </row>
    <row r="27" spans="1:23" s="17" customFormat="1" ht="45" customHeight="1" x14ac:dyDescent="0.2">
      <c r="A27" s="18"/>
      <c r="B27" s="30"/>
      <c r="C27" s="12" t="s">
        <v>31</v>
      </c>
      <c r="D27" s="13" t="s">
        <v>29</v>
      </c>
      <c r="E27" s="473"/>
      <c r="F27" s="55" t="s">
        <v>13</v>
      </c>
      <c r="G27" s="15">
        <v>1500</v>
      </c>
      <c r="H27" s="15">
        <v>1680</v>
      </c>
      <c r="I27" s="15">
        <v>1800</v>
      </c>
      <c r="J27" s="15">
        <v>3450</v>
      </c>
      <c r="K27" s="15">
        <v>3000</v>
      </c>
      <c r="L27" s="15">
        <f>0+1500+815.9</f>
        <v>2315.9</v>
      </c>
      <c r="M27" s="15">
        <v>0</v>
      </c>
      <c r="N27" s="15">
        <f t="shared" si="1"/>
        <v>13745.9</v>
      </c>
      <c r="O27" s="15">
        <f>2850.5</f>
        <v>2850.5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f t="shared" si="2"/>
        <v>16596.400000000001</v>
      </c>
      <c r="V27" s="16">
        <f t="shared" si="0"/>
        <v>0</v>
      </c>
      <c r="W27" s="16">
        <f>N27+O27-'додаток сесія_2024_2028_161 (2'!O27</f>
        <v>0</v>
      </c>
    </row>
    <row r="28" spans="1:23" s="17" customFormat="1" ht="66.75" customHeight="1" x14ac:dyDescent="0.2">
      <c r="A28" s="18"/>
      <c r="B28" s="30"/>
      <c r="C28" s="12" t="s">
        <v>401</v>
      </c>
      <c r="D28" s="13" t="s">
        <v>15</v>
      </c>
      <c r="E28" s="473"/>
      <c r="F28" s="55" t="s">
        <v>13</v>
      </c>
      <c r="G28" s="20">
        <v>0</v>
      </c>
      <c r="H28" s="15">
        <f>5650</f>
        <v>5650</v>
      </c>
      <c r="I28" s="15">
        <v>6800</v>
      </c>
      <c r="J28" s="15">
        <v>8000</v>
      </c>
      <c r="K28" s="15">
        <v>9500</v>
      </c>
      <c r="L28" s="15">
        <v>3500</v>
      </c>
      <c r="M28" s="15">
        <v>3850</v>
      </c>
      <c r="N28" s="15">
        <f t="shared" si="1"/>
        <v>37300</v>
      </c>
      <c r="O28" s="15">
        <f>4235-4235</f>
        <v>0</v>
      </c>
      <c r="P28" s="15">
        <v>0</v>
      </c>
      <c r="Q28" s="15">
        <v>7300</v>
      </c>
      <c r="R28" s="15">
        <v>8000</v>
      </c>
      <c r="S28" s="15">
        <v>8800</v>
      </c>
      <c r="T28" s="15">
        <v>10000</v>
      </c>
      <c r="U28" s="15">
        <f t="shared" si="2"/>
        <v>71400</v>
      </c>
      <c r="V28" s="16">
        <f t="shared" si="0"/>
        <v>0</v>
      </c>
      <c r="W28" s="16">
        <f>N28+O28-'додаток сесія_2024_2028_161 (2'!O28</f>
        <v>0</v>
      </c>
    </row>
    <row r="29" spans="1:23" s="17" customFormat="1" ht="72" customHeight="1" x14ac:dyDescent="0.2">
      <c r="A29" s="22"/>
      <c r="B29" s="30"/>
      <c r="C29" s="12" t="s">
        <v>389</v>
      </c>
      <c r="D29" s="23" t="s">
        <v>29</v>
      </c>
      <c r="E29" s="473"/>
      <c r="F29" s="55" t="s">
        <v>13</v>
      </c>
      <c r="G29" s="20">
        <v>0</v>
      </c>
      <c r="H29" s="15">
        <v>9116.2999999999993</v>
      </c>
      <c r="I29" s="20">
        <v>0</v>
      </c>
      <c r="J29" s="20">
        <v>200</v>
      </c>
      <c r="K29" s="20">
        <v>14000</v>
      </c>
      <c r="L29" s="20">
        <v>9713.6</v>
      </c>
      <c r="M29" s="20">
        <v>0</v>
      </c>
      <c r="N29" s="15">
        <f t="shared" si="1"/>
        <v>33029.9</v>
      </c>
      <c r="O29" s="20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f t="shared" si="2"/>
        <v>33029.9</v>
      </c>
      <c r="V29" s="16">
        <f t="shared" si="0"/>
        <v>0</v>
      </c>
      <c r="W29" s="16">
        <f>N29+O29-'додаток сесія_2024_2028_161 (2'!O29</f>
        <v>0</v>
      </c>
    </row>
    <row r="30" spans="1:23" s="17" customFormat="1" ht="54.75" customHeight="1" x14ac:dyDescent="0.2">
      <c r="A30" s="22"/>
      <c r="B30" s="31"/>
      <c r="C30" s="12" t="s">
        <v>394</v>
      </c>
      <c r="D30" s="13" t="s">
        <v>15</v>
      </c>
      <c r="E30" s="473"/>
      <c r="F30" s="55" t="s">
        <v>13</v>
      </c>
      <c r="G30" s="20">
        <v>0</v>
      </c>
      <c r="H30" s="20">
        <v>0</v>
      </c>
      <c r="I30" s="15">
        <v>10000</v>
      </c>
      <c r="J30" s="20">
        <v>0</v>
      </c>
      <c r="K30" s="20">
        <v>0</v>
      </c>
      <c r="L30" s="20">
        <v>16000</v>
      </c>
      <c r="M30" s="20">
        <v>0</v>
      </c>
      <c r="N30" s="15">
        <f t="shared" si="1"/>
        <v>26000</v>
      </c>
      <c r="O30" s="20">
        <v>0</v>
      </c>
      <c r="P30" s="20">
        <v>0</v>
      </c>
      <c r="Q30" s="20">
        <v>40000</v>
      </c>
      <c r="R30" s="20">
        <v>0</v>
      </c>
      <c r="S30" s="20">
        <v>0</v>
      </c>
      <c r="T30" s="20">
        <v>0</v>
      </c>
      <c r="U30" s="15">
        <f t="shared" si="2"/>
        <v>66000</v>
      </c>
      <c r="V30" s="16">
        <f t="shared" si="0"/>
        <v>0</v>
      </c>
      <c r="W30" s="16">
        <f>N30+O30-'додаток сесія_2024_2028_161 (2'!O30</f>
        <v>0</v>
      </c>
    </row>
    <row r="31" spans="1:23" s="17" customFormat="1" ht="71.25" customHeight="1" x14ac:dyDescent="0.2">
      <c r="A31" s="22"/>
      <c r="B31" s="31"/>
      <c r="C31" s="12" t="s">
        <v>35</v>
      </c>
      <c r="D31" s="13" t="s">
        <v>29</v>
      </c>
      <c r="E31" s="473"/>
      <c r="F31" s="55" t="s">
        <v>13</v>
      </c>
      <c r="G31" s="20">
        <v>0</v>
      </c>
      <c r="H31" s="20">
        <v>0</v>
      </c>
      <c r="I31" s="20">
        <v>0</v>
      </c>
      <c r="J31" s="20">
        <v>2425</v>
      </c>
      <c r="K31" s="20">
        <v>1275</v>
      </c>
      <c r="L31" s="20">
        <v>286.39999999999998</v>
      </c>
      <c r="M31" s="20">
        <v>0</v>
      </c>
      <c r="N31" s="15">
        <f t="shared" si="1"/>
        <v>3986.4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5">
        <f t="shared" si="2"/>
        <v>3986.4</v>
      </c>
      <c r="V31" s="16">
        <f t="shared" si="0"/>
        <v>0</v>
      </c>
      <c r="W31" s="16">
        <f>N31+O31-'додаток сесія_2024_2028_161 (2'!O31</f>
        <v>0</v>
      </c>
    </row>
    <row r="32" spans="1:23" s="17" customFormat="1" ht="60.75" customHeight="1" x14ac:dyDescent="0.2">
      <c r="A32" s="18"/>
      <c r="B32" s="30"/>
      <c r="C32" s="25" t="s">
        <v>395</v>
      </c>
      <c r="D32" s="23" t="s">
        <v>15</v>
      </c>
      <c r="E32" s="473"/>
      <c r="F32" s="55" t="s">
        <v>13</v>
      </c>
      <c r="G32" s="20">
        <v>0</v>
      </c>
      <c r="H32" s="20">
        <v>0</v>
      </c>
      <c r="I32" s="15">
        <v>10000</v>
      </c>
      <c r="J32" s="20">
        <v>0</v>
      </c>
      <c r="K32" s="20">
        <v>0</v>
      </c>
      <c r="L32" s="20">
        <v>0</v>
      </c>
      <c r="M32" s="20">
        <f>16000-16000</f>
        <v>0</v>
      </c>
      <c r="N32" s="15">
        <f t="shared" si="1"/>
        <v>10000</v>
      </c>
      <c r="O32" s="20">
        <v>0</v>
      </c>
      <c r="P32" s="20">
        <v>0</v>
      </c>
      <c r="Q32" s="20">
        <v>0</v>
      </c>
      <c r="R32" s="20">
        <v>50000</v>
      </c>
      <c r="S32" s="20">
        <v>0</v>
      </c>
      <c r="T32" s="20">
        <v>0</v>
      </c>
      <c r="U32" s="15">
        <f t="shared" si="2"/>
        <v>60000</v>
      </c>
      <c r="V32" s="16">
        <f t="shared" si="0"/>
        <v>0</v>
      </c>
      <c r="W32" s="16">
        <f>N32+O32-'додаток сесія_2024_2028_161 (2'!O32</f>
        <v>0</v>
      </c>
    </row>
    <row r="33" spans="1:23" s="17" customFormat="1" ht="68.25" customHeight="1" x14ac:dyDescent="0.2">
      <c r="A33" s="18"/>
      <c r="B33" s="30"/>
      <c r="C33" s="33" t="s">
        <v>37</v>
      </c>
      <c r="D33" s="28" t="s">
        <v>15</v>
      </c>
      <c r="E33" s="473"/>
      <c r="F33" s="55" t="s">
        <v>13</v>
      </c>
      <c r="G33" s="20">
        <v>0</v>
      </c>
      <c r="H33" s="20">
        <v>0</v>
      </c>
      <c r="I33" s="20">
        <v>0</v>
      </c>
      <c r="J33" s="15">
        <v>8000</v>
      </c>
      <c r="K33" s="20">
        <v>0</v>
      </c>
      <c r="L33" s="20">
        <v>0</v>
      </c>
      <c r="M33" s="20">
        <v>4000</v>
      </c>
      <c r="N33" s="15">
        <f t="shared" si="1"/>
        <v>12000</v>
      </c>
      <c r="O33" s="20">
        <f>18000-18000</f>
        <v>0</v>
      </c>
      <c r="P33" s="20">
        <v>0</v>
      </c>
      <c r="Q33" s="20">
        <v>0</v>
      </c>
      <c r="R33" s="20">
        <v>0</v>
      </c>
      <c r="S33" s="20">
        <v>0</v>
      </c>
      <c r="T33" s="20">
        <v>80000</v>
      </c>
      <c r="U33" s="15">
        <f t="shared" si="2"/>
        <v>92000</v>
      </c>
      <c r="V33" s="16">
        <f t="shared" si="0"/>
        <v>0</v>
      </c>
      <c r="W33" s="16">
        <f>N33+O33-'додаток сесія_2024_2028_161 (2'!O33</f>
        <v>0</v>
      </c>
    </row>
    <row r="34" spans="1:23" s="17" customFormat="1" ht="83.25" customHeight="1" x14ac:dyDescent="0.2">
      <c r="A34" s="22"/>
      <c r="B34" s="30"/>
      <c r="C34" s="34" t="s">
        <v>38</v>
      </c>
      <c r="D34" s="23" t="s">
        <v>15</v>
      </c>
      <c r="E34" s="473"/>
      <c r="F34" s="55" t="s">
        <v>13</v>
      </c>
      <c r="G34" s="20">
        <v>0</v>
      </c>
      <c r="H34" s="20">
        <v>0</v>
      </c>
      <c r="I34" s="20">
        <v>0</v>
      </c>
      <c r="J34" s="20">
        <v>0</v>
      </c>
      <c r="K34" s="15">
        <v>10000</v>
      </c>
      <c r="L34" s="15">
        <v>0</v>
      </c>
      <c r="M34" s="15">
        <v>0</v>
      </c>
      <c r="N34" s="15">
        <f t="shared" si="1"/>
        <v>10000</v>
      </c>
      <c r="O34" s="15">
        <v>16000</v>
      </c>
      <c r="P34" s="15">
        <v>0</v>
      </c>
      <c r="Q34" s="15">
        <v>0</v>
      </c>
      <c r="R34" s="15">
        <v>0</v>
      </c>
      <c r="S34" s="15">
        <v>60000</v>
      </c>
      <c r="T34" s="15">
        <v>0</v>
      </c>
      <c r="U34" s="15">
        <f t="shared" si="2"/>
        <v>86000</v>
      </c>
      <c r="V34" s="16">
        <f t="shared" si="0"/>
        <v>0</v>
      </c>
      <c r="W34" s="16">
        <f>N34+O34-'додаток сесія_2024_2028_161 (2'!O34</f>
        <v>0</v>
      </c>
    </row>
    <row r="35" spans="1:23" s="17" customFormat="1" ht="69.75" customHeight="1" x14ac:dyDescent="0.2">
      <c r="A35" s="574"/>
      <c r="B35" s="36"/>
      <c r="C35" s="37" t="s">
        <v>39</v>
      </c>
      <c r="D35" s="38" t="s">
        <v>15</v>
      </c>
      <c r="E35" s="18"/>
      <c r="F35" s="55" t="s">
        <v>13</v>
      </c>
      <c r="G35" s="20">
        <v>0</v>
      </c>
      <c r="H35" s="15">
        <f>5000-830</f>
        <v>4170</v>
      </c>
      <c r="I35" s="15">
        <v>2000</v>
      </c>
      <c r="J35" s="15">
        <v>2500</v>
      </c>
      <c r="K35" s="15">
        <v>0</v>
      </c>
      <c r="L35" s="15">
        <v>3500</v>
      </c>
      <c r="M35" s="15">
        <v>2000</v>
      </c>
      <c r="N35" s="15">
        <f t="shared" si="1"/>
        <v>14170</v>
      </c>
      <c r="O35" s="15">
        <f>2000-2000</f>
        <v>0</v>
      </c>
      <c r="P35" s="15">
        <v>0</v>
      </c>
      <c r="Q35" s="15">
        <v>0</v>
      </c>
      <c r="R35" s="15">
        <v>5000</v>
      </c>
      <c r="S35" s="15">
        <v>5000</v>
      </c>
      <c r="T35" s="15">
        <v>5000</v>
      </c>
      <c r="U35" s="15">
        <f t="shared" si="2"/>
        <v>29170</v>
      </c>
      <c r="V35" s="16">
        <f t="shared" si="0"/>
        <v>0</v>
      </c>
      <c r="W35" s="16">
        <f>N35+O35-'додаток сесія_2024_2028_161 (2'!O35</f>
        <v>0</v>
      </c>
    </row>
    <row r="36" spans="1:23" s="17" customFormat="1" ht="41.25" customHeight="1" x14ac:dyDescent="0.2">
      <c r="A36" s="575"/>
      <c r="B36" s="36"/>
      <c r="C36" s="39" t="s">
        <v>40</v>
      </c>
      <c r="D36" s="40" t="s">
        <v>29</v>
      </c>
      <c r="E36" s="18"/>
      <c r="F36" s="55" t="s">
        <v>13</v>
      </c>
      <c r="G36" s="15">
        <v>0</v>
      </c>
      <c r="H36" s="20">
        <v>60000</v>
      </c>
      <c r="I36" s="20">
        <v>0</v>
      </c>
      <c r="J36" s="20">
        <v>0</v>
      </c>
      <c r="K36" s="20">
        <v>0</v>
      </c>
      <c r="L36" s="20">
        <f>60000-1000-4500</f>
        <v>54500</v>
      </c>
      <c r="M36" s="20">
        <f>66000</f>
        <v>66000</v>
      </c>
      <c r="N36" s="15">
        <f t="shared" si="1"/>
        <v>180500</v>
      </c>
      <c r="O36" s="20">
        <f>72600-72600</f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15">
        <f t="shared" si="2"/>
        <v>180500</v>
      </c>
      <c r="V36" s="16">
        <f t="shared" si="0"/>
        <v>0</v>
      </c>
      <c r="W36" s="16">
        <f>N36+O36-'додаток сесія_2024_2028_161 (2'!O36</f>
        <v>0</v>
      </c>
    </row>
    <row r="37" spans="1:23" s="17" customFormat="1" ht="40.5" x14ac:dyDescent="0.2">
      <c r="A37" s="575"/>
      <c r="B37" s="36"/>
      <c r="C37" s="42" t="s">
        <v>41</v>
      </c>
      <c r="D37" s="14" t="s">
        <v>18</v>
      </c>
      <c r="E37" s="18"/>
      <c r="F37" s="55" t="s">
        <v>13</v>
      </c>
      <c r="G37" s="15">
        <f>30893.1-20000</f>
        <v>10893.099999999999</v>
      </c>
      <c r="H37" s="20">
        <v>0</v>
      </c>
      <c r="I37" s="20">
        <v>33783</v>
      </c>
      <c r="J37" s="20">
        <v>44021.8</v>
      </c>
      <c r="K37" s="20">
        <v>61825.56</v>
      </c>
      <c r="L37" s="20">
        <v>0</v>
      </c>
      <c r="M37" s="20">
        <v>0</v>
      </c>
      <c r="N37" s="15">
        <f t="shared" si="1"/>
        <v>150523.46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15">
        <f t="shared" si="2"/>
        <v>150523.46</v>
      </c>
      <c r="V37" s="16">
        <f t="shared" si="0"/>
        <v>0</v>
      </c>
      <c r="W37" s="16">
        <f>N37+O37-'додаток сесія_2024_2028_161 (2'!O37</f>
        <v>0</v>
      </c>
    </row>
    <row r="38" spans="1:23" s="17" customFormat="1" ht="57" customHeight="1" x14ac:dyDescent="0.2">
      <c r="A38" s="575"/>
      <c r="B38" s="36"/>
      <c r="C38" s="42" t="s">
        <v>42</v>
      </c>
      <c r="D38" s="14" t="s">
        <v>18</v>
      </c>
      <c r="E38" s="18"/>
      <c r="F38" s="55" t="s">
        <v>13</v>
      </c>
      <c r="G38" s="15">
        <v>0</v>
      </c>
      <c r="H38" s="20">
        <v>0</v>
      </c>
      <c r="I38" s="20">
        <v>3000</v>
      </c>
      <c r="J38" s="20">
        <v>2597.8000000000002</v>
      </c>
      <c r="K38" s="20">
        <v>1300</v>
      </c>
      <c r="L38" s="20">
        <v>0</v>
      </c>
      <c r="M38" s="20">
        <v>0</v>
      </c>
      <c r="N38" s="15">
        <f t="shared" si="1"/>
        <v>6897.8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5">
        <f t="shared" si="2"/>
        <v>6897.8</v>
      </c>
      <c r="V38" s="16">
        <f t="shared" si="0"/>
        <v>0</v>
      </c>
      <c r="W38" s="16">
        <f>N38+O38-'додаток сесія_2024_2028_161 (2'!O38</f>
        <v>0</v>
      </c>
    </row>
    <row r="39" spans="1:23" s="17" customFormat="1" ht="38.25" customHeight="1" x14ac:dyDescent="0.2">
      <c r="A39" s="22"/>
      <c r="B39" s="36"/>
      <c r="C39" s="37" t="s">
        <v>43</v>
      </c>
      <c r="D39" s="43" t="s">
        <v>44</v>
      </c>
      <c r="E39" s="22"/>
      <c r="F39" s="49" t="s">
        <v>13</v>
      </c>
      <c r="G39" s="52">
        <f t="shared" ref="G39:T39" si="3">SUM(G41:G54)</f>
        <v>0</v>
      </c>
      <c r="H39" s="52">
        <f t="shared" si="3"/>
        <v>0</v>
      </c>
      <c r="I39" s="52">
        <f t="shared" si="3"/>
        <v>0</v>
      </c>
      <c r="J39" s="52">
        <f t="shared" si="3"/>
        <v>2300</v>
      </c>
      <c r="K39" s="52">
        <f t="shared" si="3"/>
        <v>0</v>
      </c>
      <c r="L39" s="52">
        <f t="shared" si="3"/>
        <v>15850</v>
      </c>
      <c r="M39" s="52">
        <f t="shared" si="3"/>
        <v>9150</v>
      </c>
      <c r="N39" s="52">
        <f t="shared" si="1"/>
        <v>27300</v>
      </c>
      <c r="O39" s="52">
        <f t="shared" si="3"/>
        <v>19500</v>
      </c>
      <c r="P39" s="52">
        <f t="shared" si="3"/>
        <v>26600</v>
      </c>
      <c r="Q39" s="52">
        <f t="shared" si="3"/>
        <v>19250</v>
      </c>
      <c r="R39" s="52">
        <f t="shared" si="3"/>
        <v>8900</v>
      </c>
      <c r="S39" s="52">
        <f t="shared" si="3"/>
        <v>5300</v>
      </c>
      <c r="T39" s="52">
        <f t="shared" si="3"/>
        <v>5500</v>
      </c>
      <c r="U39" s="52">
        <f t="shared" si="2"/>
        <v>112350</v>
      </c>
      <c r="V39" s="16">
        <f t="shared" si="0"/>
        <v>0</v>
      </c>
      <c r="W39" s="16">
        <f>N39+O39-'додаток сесія_2024_2028_161 (2'!O39</f>
        <v>0</v>
      </c>
    </row>
    <row r="40" spans="1:23" s="17" customFormat="1" ht="15.75" customHeight="1" x14ac:dyDescent="0.2">
      <c r="A40" s="22"/>
      <c r="B40" s="36"/>
      <c r="C40" s="37" t="s">
        <v>45</v>
      </c>
      <c r="D40" s="22"/>
      <c r="E40" s="22"/>
      <c r="F40" s="22"/>
      <c r="G40" s="15"/>
      <c r="H40" s="20"/>
      <c r="I40" s="20"/>
      <c r="J40" s="20"/>
      <c r="K40" s="20"/>
      <c r="L40" s="20"/>
      <c r="M40" s="20"/>
      <c r="N40" s="15"/>
      <c r="O40" s="20"/>
      <c r="P40" s="20"/>
      <c r="Q40" s="20"/>
      <c r="R40" s="20"/>
      <c r="S40" s="20"/>
      <c r="T40" s="20"/>
      <c r="U40" s="15"/>
      <c r="V40" s="16">
        <f t="shared" si="0"/>
        <v>0</v>
      </c>
      <c r="W40" s="16">
        <f>N40+O40-'додаток сесія_2024_2028_161 (2'!O40</f>
        <v>0</v>
      </c>
    </row>
    <row r="41" spans="1:23" s="17" customFormat="1" ht="35.25" customHeight="1" x14ac:dyDescent="0.2">
      <c r="A41" s="22"/>
      <c r="B41" s="36"/>
      <c r="C41" s="37" t="s">
        <v>46</v>
      </c>
      <c r="D41" s="22"/>
      <c r="E41" s="22"/>
      <c r="F41" s="22"/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5">
        <v>3500</v>
      </c>
      <c r="M41" s="45">
        <f>900-350-350</f>
        <v>200</v>
      </c>
      <c r="N41" s="15">
        <f t="shared" si="1"/>
        <v>3700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15">
        <f t="shared" si="2"/>
        <v>3700</v>
      </c>
      <c r="V41" s="16">
        <f t="shared" si="0"/>
        <v>0</v>
      </c>
      <c r="W41" s="16">
        <f>N41+O41-'додаток сесія_2024_2028_161 (2'!O41</f>
        <v>0</v>
      </c>
    </row>
    <row r="42" spans="1:23" s="17" customFormat="1" ht="24.75" customHeight="1" x14ac:dyDescent="0.2">
      <c r="A42" s="47"/>
      <c r="B42" s="469"/>
      <c r="C42" s="37" t="s">
        <v>47</v>
      </c>
      <c r="D42" s="47"/>
      <c r="E42" s="470"/>
      <c r="F42" s="47"/>
      <c r="G42" s="44">
        <v>0</v>
      </c>
      <c r="H42" s="44">
        <v>0</v>
      </c>
      <c r="I42" s="44">
        <v>0</v>
      </c>
      <c r="J42" s="44">
        <v>2300</v>
      </c>
      <c r="K42" s="44">
        <v>0</v>
      </c>
      <c r="L42" s="45">
        <f>5100-450</f>
        <v>4650</v>
      </c>
      <c r="M42" s="45">
        <v>2800</v>
      </c>
      <c r="N42" s="15">
        <f t="shared" si="1"/>
        <v>9750</v>
      </c>
      <c r="O42" s="45">
        <v>0</v>
      </c>
      <c r="P42" s="45">
        <v>5500</v>
      </c>
      <c r="Q42" s="45">
        <v>5200</v>
      </c>
      <c r="R42" s="45">
        <v>0</v>
      </c>
      <c r="S42" s="45">
        <v>0</v>
      </c>
      <c r="T42" s="45">
        <v>5500</v>
      </c>
      <c r="U42" s="15">
        <f t="shared" si="2"/>
        <v>25950</v>
      </c>
      <c r="V42" s="16">
        <f t="shared" si="0"/>
        <v>0</v>
      </c>
      <c r="W42" s="16">
        <f>N42+O42-'додаток сесія_2024_2028_161 (2'!O42</f>
        <v>0</v>
      </c>
    </row>
    <row r="43" spans="1:23" s="17" customFormat="1" ht="26.25" customHeight="1" x14ac:dyDescent="0.2">
      <c r="A43" s="22"/>
      <c r="B43" s="36"/>
      <c r="C43" s="37" t="s">
        <v>48</v>
      </c>
      <c r="D43" s="22"/>
      <c r="E43" s="22"/>
      <c r="F43" s="493"/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5">
        <f>4000+375</f>
        <v>4375</v>
      </c>
      <c r="M43" s="45">
        <v>4300</v>
      </c>
      <c r="N43" s="15">
        <f t="shared" si="1"/>
        <v>8675</v>
      </c>
      <c r="O43" s="45">
        <f>4500+1600</f>
        <v>6100</v>
      </c>
      <c r="P43" s="45">
        <f>7000+500</f>
        <v>7500</v>
      </c>
      <c r="Q43" s="45">
        <v>6500</v>
      </c>
      <c r="R43" s="45">
        <v>0</v>
      </c>
      <c r="S43" s="45">
        <v>0</v>
      </c>
      <c r="T43" s="45">
        <v>0</v>
      </c>
      <c r="U43" s="15">
        <f t="shared" si="2"/>
        <v>28775</v>
      </c>
      <c r="V43" s="16">
        <f t="shared" si="0"/>
        <v>0</v>
      </c>
      <c r="W43" s="16">
        <f>N43+O43-'додаток сесія_2024_2028_161 (2'!O43</f>
        <v>0</v>
      </c>
    </row>
    <row r="44" spans="1:23" s="17" customFormat="1" ht="18" customHeight="1" x14ac:dyDescent="0.2">
      <c r="A44" s="22"/>
      <c r="B44" s="36"/>
      <c r="C44" s="37" t="s">
        <v>49</v>
      </c>
      <c r="D44" s="22"/>
      <c r="E44" s="22"/>
      <c r="F44" s="22"/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5">
        <v>0</v>
      </c>
      <c r="M44" s="45">
        <f>850+350</f>
        <v>1200</v>
      </c>
      <c r="N44" s="15">
        <f t="shared" si="1"/>
        <v>1200</v>
      </c>
      <c r="O44" s="45">
        <f>735-735</f>
        <v>0</v>
      </c>
      <c r="P44" s="45">
        <v>0</v>
      </c>
      <c r="Q44" s="45">
        <v>1200</v>
      </c>
      <c r="R44" s="45">
        <v>1300</v>
      </c>
      <c r="S44" s="45">
        <v>0</v>
      </c>
      <c r="T44" s="45">
        <v>0</v>
      </c>
      <c r="U44" s="15">
        <f t="shared" si="2"/>
        <v>3700</v>
      </c>
      <c r="V44" s="16">
        <f t="shared" si="0"/>
        <v>0</v>
      </c>
      <c r="W44" s="16">
        <f>N44+O44-'додаток сесія_2024_2028_161 (2'!O44</f>
        <v>0</v>
      </c>
    </row>
    <row r="45" spans="1:23" s="17" customFormat="1" ht="21.75" customHeight="1" x14ac:dyDescent="0.2">
      <c r="A45" s="22"/>
      <c r="B45" s="36"/>
      <c r="C45" s="37" t="s">
        <v>50</v>
      </c>
      <c r="D45" s="22"/>
      <c r="E45" s="22"/>
      <c r="F45" s="22"/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5">
        <v>0</v>
      </c>
      <c r="M45" s="45">
        <f>300+350</f>
        <v>650</v>
      </c>
      <c r="N45" s="15">
        <f t="shared" si="1"/>
        <v>650</v>
      </c>
      <c r="O45" s="45">
        <v>0</v>
      </c>
      <c r="P45" s="45">
        <v>0</v>
      </c>
      <c r="Q45" s="45">
        <v>250</v>
      </c>
      <c r="R45" s="45">
        <v>300</v>
      </c>
      <c r="S45" s="45">
        <v>0</v>
      </c>
      <c r="T45" s="45">
        <v>0</v>
      </c>
      <c r="U45" s="15">
        <f t="shared" si="2"/>
        <v>1200</v>
      </c>
      <c r="V45" s="16">
        <f t="shared" si="0"/>
        <v>0</v>
      </c>
      <c r="W45" s="16">
        <f>N45+O45-'додаток сесія_2024_2028_161 (2'!O45</f>
        <v>0</v>
      </c>
    </row>
    <row r="46" spans="1:23" s="17" customFormat="1" ht="23.25" customHeight="1" x14ac:dyDescent="0.2">
      <c r="A46" s="22"/>
      <c r="B46" s="36"/>
      <c r="C46" s="37" t="s">
        <v>51</v>
      </c>
      <c r="D46" s="22"/>
      <c r="E46" s="22"/>
      <c r="F46" s="22"/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5">
        <v>2875</v>
      </c>
      <c r="M46" s="45">
        <v>0</v>
      </c>
      <c r="N46" s="15">
        <f t="shared" si="1"/>
        <v>2875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15">
        <f t="shared" si="2"/>
        <v>2875</v>
      </c>
      <c r="V46" s="16">
        <f t="shared" si="0"/>
        <v>0</v>
      </c>
      <c r="W46" s="16">
        <f>N46+O46-'додаток сесія_2024_2028_161 (2'!O46</f>
        <v>0</v>
      </c>
    </row>
    <row r="47" spans="1:23" s="17" customFormat="1" ht="21" customHeight="1" x14ac:dyDescent="0.2">
      <c r="A47" s="22"/>
      <c r="B47" s="62"/>
      <c r="C47" s="37" t="s">
        <v>52</v>
      </c>
      <c r="D47" s="22"/>
      <c r="E47" s="22"/>
      <c r="F47" s="22"/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5">
        <v>450</v>
      </c>
      <c r="M47" s="44">
        <v>0</v>
      </c>
      <c r="N47" s="15">
        <f t="shared" si="1"/>
        <v>450</v>
      </c>
      <c r="O47" s="44">
        <v>0</v>
      </c>
      <c r="P47" s="44">
        <v>0</v>
      </c>
      <c r="Q47" s="44">
        <v>300</v>
      </c>
      <c r="R47" s="44">
        <v>300</v>
      </c>
      <c r="S47" s="44">
        <v>300</v>
      </c>
      <c r="T47" s="44">
        <v>0</v>
      </c>
      <c r="U47" s="15">
        <f t="shared" si="2"/>
        <v>1350</v>
      </c>
      <c r="V47" s="16">
        <f t="shared" si="0"/>
        <v>0</v>
      </c>
      <c r="W47" s="16">
        <f>N47+O47-'додаток сесія_2024_2028_161 (2'!O47</f>
        <v>0</v>
      </c>
    </row>
    <row r="48" spans="1:23" s="17" customFormat="1" ht="36.75" customHeight="1" x14ac:dyDescent="0.2">
      <c r="A48" s="22"/>
      <c r="B48" s="36"/>
      <c r="C48" s="48" t="s">
        <v>53</v>
      </c>
      <c r="D48" s="49"/>
      <c r="E48" s="22"/>
      <c r="F48" s="22"/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1">
        <v>0</v>
      </c>
      <c r="M48" s="50">
        <v>0</v>
      </c>
      <c r="N48" s="15">
        <f t="shared" si="1"/>
        <v>0</v>
      </c>
      <c r="O48" s="50">
        <v>6000</v>
      </c>
      <c r="P48" s="50">
        <v>7500</v>
      </c>
      <c r="Q48" s="50">
        <v>0</v>
      </c>
      <c r="R48" s="50">
        <v>0</v>
      </c>
      <c r="S48" s="50">
        <v>0</v>
      </c>
      <c r="T48" s="50">
        <v>0</v>
      </c>
      <c r="U48" s="15">
        <f t="shared" si="2"/>
        <v>13500</v>
      </c>
      <c r="V48" s="16">
        <f t="shared" si="0"/>
        <v>0</v>
      </c>
      <c r="W48" s="16">
        <f>N48+O48-'додаток сесія_2024_2028_161 (2'!O48</f>
        <v>0</v>
      </c>
    </row>
    <row r="49" spans="1:23" s="17" customFormat="1" ht="28.5" customHeight="1" x14ac:dyDescent="0.2">
      <c r="A49" s="22"/>
      <c r="B49" s="36"/>
      <c r="C49" s="37" t="s">
        <v>54</v>
      </c>
      <c r="D49" s="49"/>
      <c r="E49" s="22"/>
      <c r="F49" s="22"/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5">
        <v>0</v>
      </c>
      <c r="M49" s="44">
        <v>0</v>
      </c>
      <c r="N49" s="15">
        <f t="shared" si="1"/>
        <v>0</v>
      </c>
      <c r="O49" s="44">
        <v>5200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15">
        <f t="shared" si="2"/>
        <v>5200</v>
      </c>
      <c r="V49" s="16">
        <f t="shared" si="0"/>
        <v>0</v>
      </c>
      <c r="W49" s="16">
        <f>N49+O49-'додаток сесія_2024_2028_161 (2'!O49</f>
        <v>0</v>
      </c>
    </row>
    <row r="50" spans="1:23" s="17" customFormat="1" ht="23.25" customHeight="1" x14ac:dyDescent="0.2">
      <c r="A50" s="22"/>
      <c r="B50" s="36"/>
      <c r="C50" s="37" t="s">
        <v>55</v>
      </c>
      <c r="D50" s="49"/>
      <c r="E50" s="22"/>
      <c r="F50" s="22"/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5">
        <v>0</v>
      </c>
      <c r="M50" s="44">
        <v>0</v>
      </c>
      <c r="N50" s="15">
        <f t="shared" si="1"/>
        <v>0</v>
      </c>
      <c r="O50" s="44">
        <v>2200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15">
        <f t="shared" si="2"/>
        <v>2200</v>
      </c>
      <c r="V50" s="16">
        <f t="shared" si="0"/>
        <v>0</v>
      </c>
      <c r="W50" s="16">
        <f>N50+O50-'додаток сесія_2024_2028_161 (2'!O50</f>
        <v>0</v>
      </c>
    </row>
    <row r="51" spans="1:23" s="17" customFormat="1" ht="21.75" customHeight="1" x14ac:dyDescent="0.2">
      <c r="A51" s="22"/>
      <c r="B51" s="36"/>
      <c r="C51" s="48" t="s">
        <v>56</v>
      </c>
      <c r="D51" s="53"/>
      <c r="E51" s="22"/>
      <c r="F51" s="53"/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5">
        <v>0</v>
      </c>
      <c r="M51" s="44">
        <v>0</v>
      </c>
      <c r="N51" s="15">
        <f t="shared" si="1"/>
        <v>0</v>
      </c>
      <c r="O51" s="44">
        <v>0</v>
      </c>
      <c r="P51" s="44">
        <v>0</v>
      </c>
      <c r="Q51" s="44">
        <v>1000</v>
      </c>
      <c r="R51" s="44">
        <v>0</v>
      </c>
      <c r="S51" s="44">
        <v>0</v>
      </c>
      <c r="T51" s="44">
        <v>0</v>
      </c>
      <c r="U51" s="15">
        <f t="shared" si="2"/>
        <v>1000</v>
      </c>
      <c r="V51" s="16">
        <f t="shared" si="0"/>
        <v>0</v>
      </c>
      <c r="W51" s="16">
        <f>N51+O51-'додаток сесія_2024_2028_161 (2'!O51</f>
        <v>0</v>
      </c>
    </row>
    <row r="52" spans="1:23" s="17" customFormat="1" ht="21.75" customHeight="1" x14ac:dyDescent="0.2">
      <c r="A52" s="22"/>
      <c r="B52" s="36"/>
      <c r="C52" s="48" t="s">
        <v>57</v>
      </c>
      <c r="D52" s="53"/>
      <c r="E52" s="22"/>
      <c r="F52" s="53"/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15">
        <f t="shared" si="1"/>
        <v>0</v>
      </c>
      <c r="O52" s="44">
        <v>0</v>
      </c>
      <c r="P52" s="44">
        <v>0</v>
      </c>
      <c r="Q52" s="44">
        <v>0</v>
      </c>
      <c r="R52" s="44">
        <v>7000</v>
      </c>
      <c r="S52" s="44">
        <v>0</v>
      </c>
      <c r="T52" s="44">
        <v>0</v>
      </c>
      <c r="U52" s="15">
        <f t="shared" si="2"/>
        <v>7000</v>
      </c>
      <c r="V52" s="16">
        <f t="shared" si="0"/>
        <v>0</v>
      </c>
      <c r="W52" s="16">
        <f>N52+O52-'додаток сесія_2024_2028_161 (2'!O52</f>
        <v>0</v>
      </c>
    </row>
    <row r="53" spans="1:23" s="17" customFormat="1" ht="21.75" customHeight="1" x14ac:dyDescent="0.2">
      <c r="A53" s="22"/>
      <c r="B53" s="36"/>
      <c r="C53" s="48" t="s">
        <v>58</v>
      </c>
      <c r="D53" s="53"/>
      <c r="E53" s="22"/>
      <c r="F53" s="53"/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15">
        <f t="shared" si="1"/>
        <v>0</v>
      </c>
      <c r="O53" s="44">
        <v>0</v>
      </c>
      <c r="P53" s="44">
        <v>0</v>
      </c>
      <c r="Q53" s="44">
        <v>4800</v>
      </c>
      <c r="R53" s="44">
        <v>0</v>
      </c>
      <c r="S53" s="44">
        <v>5000</v>
      </c>
      <c r="T53" s="44">
        <v>0</v>
      </c>
      <c r="U53" s="15">
        <f t="shared" si="2"/>
        <v>9800</v>
      </c>
      <c r="V53" s="16">
        <f t="shared" si="0"/>
        <v>0</v>
      </c>
      <c r="W53" s="16">
        <f>N53+O53-'додаток сесія_2024_2028_161 (2'!O53</f>
        <v>0</v>
      </c>
    </row>
    <row r="54" spans="1:23" s="17" customFormat="1" ht="24.75" customHeight="1" x14ac:dyDescent="0.2">
      <c r="A54" s="22"/>
      <c r="B54" s="36"/>
      <c r="C54" s="48" t="s">
        <v>59</v>
      </c>
      <c r="D54" s="53"/>
      <c r="E54" s="22"/>
      <c r="F54" s="53"/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15">
        <f t="shared" si="1"/>
        <v>0</v>
      </c>
      <c r="O54" s="44">
        <v>0</v>
      </c>
      <c r="P54" s="44">
        <v>6100</v>
      </c>
      <c r="Q54" s="44">
        <v>0</v>
      </c>
      <c r="R54" s="44">
        <v>0</v>
      </c>
      <c r="S54" s="44">
        <v>0</v>
      </c>
      <c r="T54" s="44">
        <v>0</v>
      </c>
      <c r="U54" s="15">
        <f t="shared" si="2"/>
        <v>6100</v>
      </c>
      <c r="V54" s="16">
        <f t="shared" si="0"/>
        <v>0</v>
      </c>
      <c r="W54" s="16">
        <f>N54+O54-'додаток сесія_2024_2028_161 (2'!O54</f>
        <v>0</v>
      </c>
    </row>
    <row r="55" spans="1:23" s="17" customFormat="1" ht="48.75" customHeight="1" x14ac:dyDescent="0.2">
      <c r="A55" s="22"/>
      <c r="B55" s="30"/>
      <c r="C55" s="54" t="s">
        <v>60</v>
      </c>
      <c r="D55" s="55" t="s">
        <v>61</v>
      </c>
      <c r="E55" s="18"/>
      <c r="F55" s="55" t="s">
        <v>13</v>
      </c>
      <c r="G55" s="15">
        <v>0</v>
      </c>
      <c r="H55" s="15">
        <v>0</v>
      </c>
      <c r="I55" s="15">
        <v>0</v>
      </c>
      <c r="J55" s="15">
        <v>2000</v>
      </c>
      <c r="K55" s="15">
        <v>1760.9</v>
      </c>
      <c r="L55" s="15">
        <f>2000+2100</f>
        <v>4100</v>
      </c>
      <c r="M55" s="15">
        <f>2500+3000+2149.3</f>
        <v>7649.3</v>
      </c>
      <c r="N55" s="15">
        <f t="shared" si="1"/>
        <v>15510.2</v>
      </c>
      <c r="O55" s="15">
        <f>3000+10000+2000+13790</f>
        <v>28790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f t="shared" si="2"/>
        <v>44300.2</v>
      </c>
      <c r="V55" s="16">
        <f t="shared" si="0"/>
        <v>0</v>
      </c>
      <c r="W55" s="16">
        <f>N55+O55-'додаток сесія_2024_2028_161 (2'!O55</f>
        <v>0</v>
      </c>
    </row>
    <row r="56" spans="1:23" s="17" customFormat="1" ht="53.25" customHeight="1" x14ac:dyDescent="0.2">
      <c r="A56" s="22"/>
      <c r="B56" s="30"/>
      <c r="C56" s="34" t="s">
        <v>62</v>
      </c>
      <c r="D56" s="56" t="s">
        <v>61</v>
      </c>
      <c r="E56" s="18"/>
      <c r="F56" s="55" t="s">
        <v>13</v>
      </c>
      <c r="G56" s="15">
        <v>0</v>
      </c>
      <c r="H56" s="15">
        <v>0</v>
      </c>
      <c r="I56" s="15">
        <v>0</v>
      </c>
      <c r="J56" s="15">
        <v>7900</v>
      </c>
      <c r="K56" s="15">
        <v>6611.6</v>
      </c>
      <c r="L56" s="15">
        <v>10000</v>
      </c>
      <c r="M56" s="15">
        <f>14000-2149.3</f>
        <v>11850.7</v>
      </c>
      <c r="N56" s="15">
        <f t="shared" si="1"/>
        <v>36362.300000000003</v>
      </c>
      <c r="O56" s="15">
        <f>20000-10000</f>
        <v>10000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f t="shared" si="2"/>
        <v>46362.3</v>
      </c>
      <c r="V56" s="16">
        <f t="shared" si="0"/>
        <v>0</v>
      </c>
      <c r="W56" s="16">
        <f>N56+O56-'додаток сесія_2024_2028_161 (2'!O56</f>
        <v>0</v>
      </c>
    </row>
    <row r="57" spans="1:23" s="17" customFormat="1" ht="40.5" customHeight="1" x14ac:dyDescent="0.2">
      <c r="A57" s="22"/>
      <c r="B57" s="30"/>
      <c r="C57" s="57" t="s">
        <v>63</v>
      </c>
      <c r="D57" s="29" t="s">
        <v>61</v>
      </c>
      <c r="E57" s="18"/>
      <c r="F57" s="55" t="s">
        <v>13</v>
      </c>
      <c r="G57" s="15">
        <v>0</v>
      </c>
      <c r="H57" s="15">
        <v>0</v>
      </c>
      <c r="I57" s="15">
        <v>0</v>
      </c>
      <c r="J57" s="15">
        <v>1600</v>
      </c>
      <c r="K57" s="15">
        <v>5500</v>
      </c>
      <c r="L57" s="15">
        <f>7600-3900</f>
        <v>3700</v>
      </c>
      <c r="M57" s="15">
        <f>8360-8360</f>
        <v>0</v>
      </c>
      <c r="N57" s="15">
        <f t="shared" si="1"/>
        <v>10800</v>
      </c>
      <c r="O57" s="15">
        <f>9200-9200</f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f t="shared" si="2"/>
        <v>10800</v>
      </c>
      <c r="V57" s="16">
        <f t="shared" si="0"/>
        <v>0</v>
      </c>
      <c r="W57" s="16">
        <f>N57+O57-'додаток сесія_2024_2028_161 (2'!O57</f>
        <v>0</v>
      </c>
    </row>
    <row r="58" spans="1:23" s="17" customFormat="1" ht="57.75" customHeight="1" x14ac:dyDescent="0.2">
      <c r="A58" s="22"/>
      <c r="B58" s="36"/>
      <c r="C58" s="42" t="s">
        <v>64</v>
      </c>
      <c r="D58" s="13" t="s">
        <v>44</v>
      </c>
      <c r="E58" s="473"/>
      <c r="F58" s="55" t="s">
        <v>13</v>
      </c>
      <c r="G58" s="15">
        <v>0</v>
      </c>
      <c r="H58" s="20">
        <v>0</v>
      </c>
      <c r="I58" s="20">
        <v>0</v>
      </c>
      <c r="J58" s="20">
        <v>6000</v>
      </c>
      <c r="K58" s="20">
        <v>13000</v>
      </c>
      <c r="L58" s="20">
        <v>1260</v>
      </c>
      <c r="M58" s="20">
        <v>1385</v>
      </c>
      <c r="N58" s="15">
        <f t="shared" si="1"/>
        <v>21645</v>
      </c>
      <c r="O58" s="20">
        <v>1525</v>
      </c>
      <c r="P58" s="20">
        <v>0</v>
      </c>
      <c r="Q58" s="20">
        <v>1300</v>
      </c>
      <c r="R58" s="20">
        <v>1500</v>
      </c>
      <c r="S58" s="20">
        <v>2000</v>
      </c>
      <c r="T58" s="20">
        <v>2500</v>
      </c>
      <c r="U58" s="15">
        <f t="shared" si="2"/>
        <v>30470</v>
      </c>
      <c r="V58" s="16">
        <f t="shared" si="0"/>
        <v>0</v>
      </c>
      <c r="W58" s="16">
        <f>N58+O58-'додаток сесія_2024_2028_161 (2'!O58</f>
        <v>0</v>
      </c>
    </row>
    <row r="59" spans="1:23" s="17" customFormat="1" ht="54.75" customHeight="1" x14ac:dyDescent="0.2">
      <c r="A59" s="574"/>
      <c r="B59" s="36"/>
      <c r="C59" s="42" t="s">
        <v>65</v>
      </c>
      <c r="D59" s="13" t="s">
        <v>61</v>
      </c>
      <c r="E59" s="473"/>
      <c r="F59" s="55" t="s">
        <v>13</v>
      </c>
      <c r="G59" s="15">
        <v>0</v>
      </c>
      <c r="H59" s="20">
        <v>0</v>
      </c>
      <c r="I59" s="20">
        <v>0</v>
      </c>
      <c r="J59" s="20">
        <v>2500</v>
      </c>
      <c r="K59" s="20">
        <v>7500</v>
      </c>
      <c r="L59" s="20">
        <v>1835.7</v>
      </c>
      <c r="M59" s="20">
        <f>8500</f>
        <v>8500</v>
      </c>
      <c r="N59" s="15">
        <f t="shared" si="1"/>
        <v>20335.7</v>
      </c>
      <c r="O59" s="20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f t="shared" si="2"/>
        <v>20335.7</v>
      </c>
      <c r="V59" s="16">
        <f t="shared" si="0"/>
        <v>0</v>
      </c>
      <c r="W59" s="16">
        <f>N59+O59-'додаток сесія_2024_2028_161 (2'!O59</f>
        <v>0</v>
      </c>
    </row>
    <row r="60" spans="1:23" s="17" customFormat="1" ht="71.25" customHeight="1" x14ac:dyDescent="0.2">
      <c r="A60" s="575"/>
      <c r="B60" s="36"/>
      <c r="C60" s="42" t="s">
        <v>66</v>
      </c>
      <c r="D60" s="13" t="s">
        <v>44</v>
      </c>
      <c r="E60" s="473"/>
      <c r="F60" s="55" t="s">
        <v>13</v>
      </c>
      <c r="G60" s="15">
        <v>0</v>
      </c>
      <c r="H60" s="20">
        <v>0</v>
      </c>
      <c r="I60" s="20">
        <v>0</v>
      </c>
      <c r="J60" s="20">
        <v>0</v>
      </c>
      <c r="K60" s="20">
        <v>1000</v>
      </c>
      <c r="L60" s="20">
        <v>10000</v>
      </c>
      <c r="M60" s="20">
        <f>10000-8500</f>
        <v>1500</v>
      </c>
      <c r="N60" s="15">
        <f t="shared" si="1"/>
        <v>12500</v>
      </c>
      <c r="O60" s="20">
        <v>0</v>
      </c>
      <c r="P60" s="20">
        <v>0</v>
      </c>
      <c r="Q60" s="20">
        <v>1000</v>
      </c>
      <c r="R60" s="20">
        <v>0</v>
      </c>
      <c r="S60" s="20">
        <v>0</v>
      </c>
      <c r="T60" s="20">
        <v>0</v>
      </c>
      <c r="U60" s="15">
        <f t="shared" si="2"/>
        <v>13500</v>
      </c>
      <c r="V60" s="16">
        <f t="shared" si="0"/>
        <v>0</v>
      </c>
      <c r="W60" s="16">
        <f>N60+O60-'додаток сесія_2024_2028_161 (2'!O60</f>
        <v>0</v>
      </c>
    </row>
    <row r="61" spans="1:23" s="17" customFormat="1" ht="46.5" customHeight="1" x14ac:dyDescent="0.2">
      <c r="A61" s="22"/>
      <c r="B61" s="36"/>
      <c r="C61" s="42" t="s">
        <v>67</v>
      </c>
      <c r="D61" s="13" t="s">
        <v>68</v>
      </c>
      <c r="E61" s="473"/>
      <c r="F61" s="55" t="s">
        <v>13</v>
      </c>
      <c r="G61" s="15">
        <v>0</v>
      </c>
      <c r="H61" s="20">
        <v>0</v>
      </c>
      <c r="I61" s="20">
        <v>0</v>
      </c>
      <c r="J61" s="20">
        <v>0</v>
      </c>
      <c r="K61" s="20">
        <v>7950</v>
      </c>
      <c r="L61" s="20">
        <v>0</v>
      </c>
      <c r="M61" s="20">
        <v>0</v>
      </c>
      <c r="N61" s="15">
        <f t="shared" si="1"/>
        <v>7950</v>
      </c>
      <c r="O61" s="20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f t="shared" si="2"/>
        <v>7950</v>
      </c>
      <c r="V61" s="16">
        <f t="shared" si="0"/>
        <v>0</v>
      </c>
      <c r="W61" s="16">
        <f>N61+O61-'додаток сесія_2024_2028_161 (2'!O61</f>
        <v>0</v>
      </c>
    </row>
    <row r="62" spans="1:23" s="17" customFormat="1" ht="42.75" customHeight="1" x14ac:dyDescent="0.2">
      <c r="A62" s="22"/>
      <c r="B62" s="82"/>
      <c r="C62" s="42" t="s">
        <v>69</v>
      </c>
      <c r="D62" s="13" t="s">
        <v>61</v>
      </c>
      <c r="E62" s="473"/>
      <c r="F62" s="55" t="s">
        <v>13</v>
      </c>
      <c r="G62" s="15">
        <v>0</v>
      </c>
      <c r="H62" s="20">
        <v>0</v>
      </c>
      <c r="I62" s="20">
        <v>0</v>
      </c>
      <c r="J62" s="20">
        <v>0</v>
      </c>
      <c r="K62" s="20">
        <v>1000</v>
      </c>
      <c r="L62" s="20">
        <v>10000</v>
      </c>
      <c r="M62" s="20">
        <f>4000-2250</f>
        <v>1750</v>
      </c>
      <c r="N62" s="15">
        <f t="shared" si="1"/>
        <v>12750</v>
      </c>
      <c r="O62" s="20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f t="shared" si="2"/>
        <v>12750</v>
      </c>
      <c r="V62" s="16">
        <f t="shared" si="0"/>
        <v>0</v>
      </c>
      <c r="W62" s="16">
        <f>N62+O62-'додаток сесія_2024_2028_161 (2'!O62</f>
        <v>0</v>
      </c>
    </row>
    <row r="63" spans="1:23" s="17" customFormat="1" ht="47.25" customHeight="1" x14ac:dyDescent="0.2">
      <c r="A63" s="22"/>
      <c r="B63" s="82"/>
      <c r="C63" s="58" t="s">
        <v>70</v>
      </c>
      <c r="D63" s="23" t="s">
        <v>71</v>
      </c>
      <c r="E63" s="472"/>
      <c r="F63" s="55" t="s">
        <v>13</v>
      </c>
      <c r="G63" s="15">
        <v>0</v>
      </c>
      <c r="H63" s="20">
        <v>0</v>
      </c>
      <c r="I63" s="20">
        <v>0</v>
      </c>
      <c r="J63" s="20">
        <v>0</v>
      </c>
      <c r="K63" s="20">
        <v>0</v>
      </c>
      <c r="L63" s="20">
        <v>2000</v>
      </c>
      <c r="M63" s="20">
        <v>7000</v>
      </c>
      <c r="N63" s="15">
        <f t="shared" si="1"/>
        <v>9000</v>
      </c>
      <c r="O63" s="20">
        <v>10000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f t="shared" si="2"/>
        <v>19000</v>
      </c>
      <c r="V63" s="16">
        <f t="shared" si="0"/>
        <v>0</v>
      </c>
      <c r="W63" s="16">
        <f>N63+O63-'додаток сесія_2024_2028_161 (2'!O63</f>
        <v>0</v>
      </c>
    </row>
    <row r="64" spans="1:23" s="17" customFormat="1" ht="52.5" customHeight="1" x14ac:dyDescent="0.2">
      <c r="A64" s="22"/>
      <c r="B64" s="19"/>
      <c r="C64" s="59" t="s">
        <v>72</v>
      </c>
      <c r="D64" s="60" t="s">
        <v>73</v>
      </c>
      <c r="E64" s="472"/>
      <c r="F64" s="55" t="s">
        <v>13</v>
      </c>
      <c r="G64" s="15">
        <v>0</v>
      </c>
      <c r="H64" s="20">
        <v>0</v>
      </c>
      <c r="I64" s="20">
        <v>0</v>
      </c>
      <c r="J64" s="20">
        <v>0</v>
      </c>
      <c r="K64" s="20">
        <v>0</v>
      </c>
      <c r="L64" s="20">
        <v>2000</v>
      </c>
      <c r="M64" s="20">
        <v>2000</v>
      </c>
      <c r="N64" s="15">
        <f t="shared" si="1"/>
        <v>4000</v>
      </c>
      <c r="O64" s="20">
        <v>0</v>
      </c>
      <c r="P64" s="20">
        <v>0</v>
      </c>
      <c r="Q64" s="20">
        <v>0</v>
      </c>
      <c r="R64" s="20">
        <v>5000</v>
      </c>
      <c r="S64" s="20">
        <v>0</v>
      </c>
      <c r="T64" s="20">
        <v>0</v>
      </c>
      <c r="U64" s="15">
        <f t="shared" si="2"/>
        <v>9000</v>
      </c>
      <c r="V64" s="16">
        <f t="shared" si="0"/>
        <v>0</v>
      </c>
      <c r="W64" s="16">
        <f>N64+O64-'додаток сесія_2024_2028_161 (2'!O64</f>
        <v>0</v>
      </c>
    </row>
    <row r="65" spans="1:23" s="17" customFormat="1" ht="71.25" customHeight="1" x14ac:dyDescent="0.2">
      <c r="A65" s="47"/>
      <c r="B65" s="469"/>
      <c r="C65" s="63" t="s">
        <v>74</v>
      </c>
      <c r="D65" s="13" t="s">
        <v>73</v>
      </c>
      <c r="E65" s="476"/>
      <c r="F65" s="55" t="s">
        <v>13</v>
      </c>
      <c r="G65" s="15">
        <v>0</v>
      </c>
      <c r="H65" s="20">
        <v>0</v>
      </c>
      <c r="I65" s="20">
        <v>0</v>
      </c>
      <c r="J65" s="20">
        <v>0</v>
      </c>
      <c r="K65" s="20">
        <v>0</v>
      </c>
      <c r="L65" s="20">
        <v>2000</v>
      </c>
      <c r="M65" s="20">
        <v>2000</v>
      </c>
      <c r="N65" s="15">
        <f t="shared" si="1"/>
        <v>4000</v>
      </c>
      <c r="O65" s="20">
        <v>0</v>
      </c>
      <c r="P65" s="20">
        <v>0</v>
      </c>
      <c r="Q65" s="20">
        <v>4200</v>
      </c>
      <c r="R65" s="20">
        <v>0</v>
      </c>
      <c r="S65" s="20">
        <v>0</v>
      </c>
      <c r="T65" s="20">
        <v>0</v>
      </c>
      <c r="U65" s="15">
        <f t="shared" si="2"/>
        <v>8200</v>
      </c>
      <c r="V65" s="16">
        <f t="shared" si="0"/>
        <v>0</v>
      </c>
      <c r="W65" s="16">
        <f>N65+O65-'додаток сесія_2024_2028_161 (2'!O65</f>
        <v>0</v>
      </c>
    </row>
    <row r="66" spans="1:23" s="17" customFormat="1" ht="44.25" customHeight="1" x14ac:dyDescent="0.2">
      <c r="A66" s="22"/>
      <c r="B66" s="62"/>
      <c r="C66" s="63" t="s">
        <v>75</v>
      </c>
      <c r="D66" s="13" t="s">
        <v>73</v>
      </c>
      <c r="E66" s="472"/>
      <c r="F66" s="55" t="s">
        <v>13</v>
      </c>
      <c r="G66" s="15">
        <v>0</v>
      </c>
      <c r="H66" s="20">
        <v>0</v>
      </c>
      <c r="I66" s="20">
        <v>0</v>
      </c>
      <c r="J66" s="20">
        <v>0</v>
      </c>
      <c r="K66" s="20">
        <v>0</v>
      </c>
      <c r="L66" s="20">
        <f>500+1000</f>
        <v>1500</v>
      </c>
      <c r="M66" s="20">
        <v>1000</v>
      </c>
      <c r="N66" s="15">
        <f t="shared" si="1"/>
        <v>2500</v>
      </c>
      <c r="O66" s="20">
        <v>1500</v>
      </c>
      <c r="P66" s="20">
        <v>2000</v>
      </c>
      <c r="Q66" s="20">
        <v>3000</v>
      </c>
      <c r="R66" s="20">
        <v>8000</v>
      </c>
      <c r="S66" s="20">
        <v>10000</v>
      </c>
      <c r="T66" s="20">
        <v>10000</v>
      </c>
      <c r="U66" s="15">
        <f t="shared" si="2"/>
        <v>37000</v>
      </c>
      <c r="V66" s="16">
        <f t="shared" si="0"/>
        <v>0</v>
      </c>
      <c r="W66" s="16">
        <f>N66+O66-'додаток сесія_2024_2028_161 (2'!O66</f>
        <v>0</v>
      </c>
    </row>
    <row r="67" spans="1:23" s="17" customFormat="1" ht="44.25" customHeight="1" x14ac:dyDescent="0.2">
      <c r="A67" s="22"/>
      <c r="B67" s="576"/>
      <c r="C67" s="63" t="s">
        <v>76</v>
      </c>
      <c r="D67" s="13" t="s">
        <v>73</v>
      </c>
      <c r="E67" s="472"/>
      <c r="F67" s="55" t="s">
        <v>13</v>
      </c>
      <c r="G67" s="15">
        <v>0</v>
      </c>
      <c r="H67" s="20">
        <v>0</v>
      </c>
      <c r="I67" s="20">
        <v>0</v>
      </c>
      <c r="J67" s="20">
        <v>0</v>
      </c>
      <c r="K67" s="20">
        <v>0</v>
      </c>
      <c r="L67" s="20">
        <v>1000</v>
      </c>
      <c r="M67" s="20">
        <v>3000</v>
      </c>
      <c r="N67" s="15">
        <f t="shared" si="1"/>
        <v>4000</v>
      </c>
      <c r="O67" s="20">
        <f>3000-3000</f>
        <v>0</v>
      </c>
      <c r="P67" s="20">
        <v>0</v>
      </c>
      <c r="Q67" s="20">
        <v>1500</v>
      </c>
      <c r="R67" s="20">
        <v>2000</v>
      </c>
      <c r="S67" s="20">
        <v>0</v>
      </c>
      <c r="T67" s="20">
        <v>0</v>
      </c>
      <c r="U67" s="15">
        <f t="shared" si="2"/>
        <v>7500</v>
      </c>
      <c r="V67" s="16">
        <f t="shared" si="0"/>
        <v>0</v>
      </c>
      <c r="W67" s="16">
        <f>N67+O67-'додаток сесія_2024_2028_161 (2'!O67</f>
        <v>0</v>
      </c>
    </row>
    <row r="68" spans="1:23" s="17" customFormat="1" ht="46.5" customHeight="1" x14ac:dyDescent="0.2">
      <c r="A68" s="574"/>
      <c r="B68" s="575"/>
      <c r="C68" s="63" t="s">
        <v>77</v>
      </c>
      <c r="D68" s="13" t="s">
        <v>73</v>
      </c>
      <c r="E68" s="472"/>
      <c r="F68" s="55" t="s">
        <v>13</v>
      </c>
      <c r="G68" s="15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6500</v>
      </c>
      <c r="N68" s="15">
        <f t="shared" si="1"/>
        <v>6500</v>
      </c>
      <c r="O68" s="20">
        <v>0</v>
      </c>
      <c r="P68" s="20">
        <v>0</v>
      </c>
      <c r="Q68" s="20">
        <v>0</v>
      </c>
      <c r="R68" s="20">
        <v>5500</v>
      </c>
      <c r="S68" s="20">
        <v>0</v>
      </c>
      <c r="T68" s="20">
        <v>0</v>
      </c>
      <c r="U68" s="15">
        <f t="shared" si="2"/>
        <v>12000</v>
      </c>
      <c r="V68" s="16">
        <f t="shared" si="0"/>
        <v>0</v>
      </c>
      <c r="W68" s="16">
        <f>N68+O68-'додаток сесія_2024_2028_161 (2'!O68</f>
        <v>0</v>
      </c>
    </row>
    <row r="69" spans="1:23" s="17" customFormat="1" ht="49.5" customHeight="1" x14ac:dyDescent="0.2">
      <c r="A69" s="575"/>
      <c r="B69" s="575"/>
      <c r="C69" s="63" t="s">
        <v>78</v>
      </c>
      <c r="D69" s="13" t="s">
        <v>73</v>
      </c>
      <c r="E69" s="472"/>
      <c r="F69" s="55" t="s">
        <v>13</v>
      </c>
      <c r="G69" s="15">
        <v>0</v>
      </c>
      <c r="H69" s="20">
        <v>0</v>
      </c>
      <c r="I69" s="20">
        <v>0</v>
      </c>
      <c r="J69" s="20">
        <v>0</v>
      </c>
      <c r="K69" s="20">
        <v>0</v>
      </c>
      <c r="L69" s="20">
        <f>10000-2100</f>
        <v>7900</v>
      </c>
      <c r="M69" s="20">
        <v>0</v>
      </c>
      <c r="N69" s="15">
        <f t="shared" si="1"/>
        <v>7900</v>
      </c>
      <c r="O69" s="20">
        <v>0</v>
      </c>
      <c r="P69" s="20">
        <v>0</v>
      </c>
      <c r="Q69" s="20">
        <v>300</v>
      </c>
      <c r="R69" s="20">
        <v>300</v>
      </c>
      <c r="S69" s="20">
        <v>0</v>
      </c>
      <c r="T69" s="20">
        <v>0</v>
      </c>
      <c r="U69" s="15">
        <f t="shared" si="2"/>
        <v>8500</v>
      </c>
      <c r="V69" s="16">
        <f t="shared" si="0"/>
        <v>0</v>
      </c>
      <c r="W69" s="16">
        <f>N69+O69-'додаток сесія_2024_2028_161 (2'!O69</f>
        <v>0</v>
      </c>
    </row>
    <row r="70" spans="1:23" s="17" customFormat="1" ht="48" customHeight="1" x14ac:dyDescent="0.2">
      <c r="A70" s="18"/>
      <c r="B70" s="30"/>
      <c r="C70" s="63" t="s">
        <v>392</v>
      </c>
      <c r="D70" s="13" t="s">
        <v>73</v>
      </c>
      <c r="E70" s="472"/>
      <c r="F70" s="55" t="s">
        <v>13</v>
      </c>
      <c r="G70" s="15">
        <v>0</v>
      </c>
      <c r="H70" s="20">
        <v>0</v>
      </c>
      <c r="I70" s="20">
        <v>0</v>
      </c>
      <c r="J70" s="20">
        <v>0</v>
      </c>
      <c r="K70" s="20">
        <v>0</v>
      </c>
      <c r="L70" s="20">
        <v>51559</v>
      </c>
      <c r="M70" s="20">
        <v>50074</v>
      </c>
      <c r="N70" s="15">
        <f t="shared" si="1"/>
        <v>101633</v>
      </c>
      <c r="O70" s="20">
        <v>51535</v>
      </c>
      <c r="P70" s="20">
        <v>63296.71587</v>
      </c>
      <c r="Q70" s="20">
        <v>69180.47911</v>
      </c>
      <c r="R70" s="20">
        <v>62949.17669</v>
      </c>
      <c r="S70" s="20">
        <v>59681.441910000001</v>
      </c>
      <c r="T70" s="20">
        <v>56045.670409999999</v>
      </c>
      <c r="U70" s="15">
        <f t="shared" si="2"/>
        <v>464321.48398999998</v>
      </c>
      <c r="V70" s="16">
        <f t="shared" si="0"/>
        <v>0</v>
      </c>
      <c r="W70" s="16">
        <f>N70+O70-'додаток сесія_2024_2028_161 (2'!O70</f>
        <v>0</v>
      </c>
    </row>
    <row r="71" spans="1:23" s="17" customFormat="1" ht="42.75" customHeight="1" x14ac:dyDescent="0.2">
      <c r="A71" s="18"/>
      <c r="B71" s="30"/>
      <c r="C71" s="63" t="s">
        <v>80</v>
      </c>
      <c r="D71" s="14" t="s">
        <v>73</v>
      </c>
      <c r="E71" s="78"/>
      <c r="F71" s="55" t="s">
        <v>13</v>
      </c>
      <c r="G71" s="15">
        <v>0</v>
      </c>
      <c r="H71" s="20">
        <v>0</v>
      </c>
      <c r="I71" s="20">
        <v>0</v>
      </c>
      <c r="J71" s="20">
        <v>0</v>
      </c>
      <c r="K71" s="20">
        <v>0</v>
      </c>
      <c r="L71" s="20">
        <f>307183.1-2334.6</f>
        <v>304848.5</v>
      </c>
      <c r="M71" s="15">
        <f>361442.2-1000</f>
        <v>360442.2</v>
      </c>
      <c r="N71" s="15">
        <f t="shared" si="1"/>
        <v>665290.69999999995</v>
      </c>
      <c r="O71" s="15">
        <v>449833.8</v>
      </c>
      <c r="P71" s="15">
        <v>550038.13575999998</v>
      </c>
      <c r="Q71" s="15">
        <v>575145.27782000008</v>
      </c>
      <c r="R71" s="15">
        <v>618980.48228000011</v>
      </c>
      <c r="S71" s="15">
        <v>666502.23373000009</v>
      </c>
      <c r="T71" s="15">
        <v>720843.09429999988</v>
      </c>
      <c r="U71" s="15">
        <f t="shared" si="2"/>
        <v>4246633.72389</v>
      </c>
      <c r="V71" s="16">
        <f t="shared" si="0"/>
        <v>0</v>
      </c>
      <c r="W71" s="16">
        <f>N71+O71-'додаток сесія_2024_2028_161 (2'!O71</f>
        <v>0</v>
      </c>
    </row>
    <row r="72" spans="1:23" s="17" customFormat="1" ht="41.25" customHeight="1" x14ac:dyDescent="0.2">
      <c r="A72" s="18"/>
      <c r="B72" s="30"/>
      <c r="C72" s="63" t="s">
        <v>81</v>
      </c>
      <c r="D72" s="14" t="s">
        <v>73</v>
      </c>
      <c r="E72" s="78"/>
      <c r="F72" s="55" t="s">
        <v>13</v>
      </c>
      <c r="G72" s="15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65">
        <v>2250</v>
      </c>
      <c r="N72" s="15">
        <f t="shared" si="1"/>
        <v>2250</v>
      </c>
      <c r="O72" s="65">
        <v>0</v>
      </c>
      <c r="P72" s="65">
        <v>3700</v>
      </c>
      <c r="Q72" s="65">
        <v>1500</v>
      </c>
      <c r="R72" s="65">
        <v>0</v>
      </c>
      <c r="S72" s="65">
        <v>0</v>
      </c>
      <c r="T72" s="65">
        <v>0</v>
      </c>
      <c r="U72" s="15">
        <f t="shared" si="2"/>
        <v>7450</v>
      </c>
      <c r="V72" s="16">
        <f t="shared" si="0"/>
        <v>0</v>
      </c>
      <c r="W72" s="16">
        <f>N72+O72-'додаток сесія_2024_2028_161 (2'!O72</f>
        <v>0</v>
      </c>
    </row>
    <row r="73" spans="1:23" s="17" customFormat="1" ht="45.75" customHeight="1" x14ac:dyDescent="0.2">
      <c r="A73" s="18"/>
      <c r="B73" s="30"/>
      <c r="C73" s="63" t="s">
        <v>82</v>
      </c>
      <c r="D73" s="14" t="s">
        <v>83</v>
      </c>
      <c r="E73" s="78"/>
      <c r="F73" s="55" t="s">
        <v>13</v>
      </c>
      <c r="G73" s="15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15">
        <f>72927.1+5360+16000</f>
        <v>94287.1</v>
      </c>
      <c r="N73" s="15">
        <f t="shared" si="1"/>
        <v>94287.1</v>
      </c>
      <c r="O73" s="15">
        <f>87444.4+18000+9200+4235-2850.5+3000</f>
        <v>119028.9</v>
      </c>
      <c r="P73" s="15">
        <v>241085.13451</v>
      </c>
      <c r="Q73" s="15">
        <v>305345.93681000004</v>
      </c>
      <c r="R73" s="15">
        <v>394183.52026999998</v>
      </c>
      <c r="S73" s="15">
        <v>496402.59255</v>
      </c>
      <c r="T73" s="15">
        <v>612403.79011000006</v>
      </c>
      <c r="U73" s="15">
        <f t="shared" si="2"/>
        <v>2262736.97425</v>
      </c>
      <c r="V73" s="16">
        <f t="shared" si="0"/>
        <v>0</v>
      </c>
      <c r="W73" s="16">
        <f>N73+O73-'додаток сесія_2024_2028_161 (2'!O73</f>
        <v>0</v>
      </c>
    </row>
    <row r="74" spans="1:23" s="17" customFormat="1" ht="44.25" customHeight="1" x14ac:dyDescent="0.2">
      <c r="A74" s="18"/>
      <c r="B74" s="30"/>
      <c r="C74" s="63" t="s">
        <v>84</v>
      </c>
      <c r="D74" s="14" t="s">
        <v>83</v>
      </c>
      <c r="E74" s="78"/>
      <c r="F74" s="55" t="s">
        <v>13</v>
      </c>
      <c r="G74" s="15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15">
        <v>1000</v>
      </c>
      <c r="N74" s="15">
        <f t="shared" si="1"/>
        <v>1000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f t="shared" si="2"/>
        <v>1000</v>
      </c>
      <c r="V74" s="16">
        <f t="shared" si="0"/>
        <v>0</v>
      </c>
      <c r="W74" s="16">
        <f>N74+O74-'додаток сесія_2024_2028_161 (2'!O74</f>
        <v>0</v>
      </c>
    </row>
    <row r="75" spans="1:23" s="17" customFormat="1" ht="40.5" customHeight="1" x14ac:dyDescent="0.2">
      <c r="A75" s="18"/>
      <c r="B75" s="30"/>
      <c r="C75" s="34" t="s">
        <v>85</v>
      </c>
      <c r="D75" s="35" t="s">
        <v>86</v>
      </c>
      <c r="E75" s="78"/>
      <c r="F75" s="55" t="s">
        <v>13</v>
      </c>
      <c r="G75" s="15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15">
        <v>0</v>
      </c>
      <c r="N75" s="15">
        <f t="shared" si="1"/>
        <v>0</v>
      </c>
      <c r="O75" s="15">
        <f>150000-25055</f>
        <v>124945</v>
      </c>
      <c r="P75" s="15">
        <v>140000</v>
      </c>
      <c r="Q75" s="15">
        <v>150000</v>
      </c>
      <c r="R75" s="15">
        <v>170000</v>
      </c>
      <c r="S75" s="15">
        <v>185000</v>
      </c>
      <c r="T75" s="15">
        <v>200000</v>
      </c>
      <c r="U75" s="15">
        <f t="shared" si="2"/>
        <v>969945</v>
      </c>
      <c r="V75" s="16">
        <f t="shared" si="0"/>
        <v>0</v>
      </c>
      <c r="W75" s="16">
        <f>N75+O75-'додаток сесія_2024_2028_161 (2'!O75</f>
        <v>0</v>
      </c>
    </row>
    <row r="76" spans="1:23" s="17" customFormat="1" ht="44.25" customHeight="1" x14ac:dyDescent="0.2">
      <c r="A76" s="18"/>
      <c r="B76" s="30"/>
      <c r="C76" s="68" t="s">
        <v>87</v>
      </c>
      <c r="D76" s="69" t="s">
        <v>88</v>
      </c>
      <c r="E76" s="70"/>
      <c r="F76" s="55" t="s">
        <v>13</v>
      </c>
      <c r="G76" s="15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15">
        <v>0</v>
      </c>
      <c r="N76" s="15">
        <f t="shared" si="1"/>
        <v>0</v>
      </c>
      <c r="O76" s="15">
        <v>0</v>
      </c>
      <c r="P76" s="15">
        <v>0</v>
      </c>
      <c r="Q76" s="15">
        <v>132000</v>
      </c>
      <c r="R76" s="15">
        <v>140000</v>
      </c>
      <c r="S76" s="15">
        <v>110000</v>
      </c>
      <c r="T76" s="15">
        <v>125000</v>
      </c>
      <c r="U76" s="15">
        <f t="shared" si="2"/>
        <v>507000</v>
      </c>
      <c r="V76" s="16">
        <f t="shared" ref="V76:V139" si="4">G76+H76+I76+J76+K76+L76+M76+O76+P76+Q76+R76+S76+T76-U76</f>
        <v>0</v>
      </c>
      <c r="W76" s="16">
        <f>N76+O76-'додаток сесія_2024_2028_161 (2'!O76</f>
        <v>0</v>
      </c>
    </row>
    <row r="77" spans="1:23" s="17" customFormat="1" ht="38.25" customHeight="1" x14ac:dyDescent="0.2">
      <c r="A77" s="18"/>
      <c r="B77" s="30"/>
      <c r="C77" s="71" t="s">
        <v>89</v>
      </c>
      <c r="D77" s="40" t="s">
        <v>88</v>
      </c>
      <c r="E77" s="70"/>
      <c r="F77" s="55" t="s">
        <v>13</v>
      </c>
      <c r="G77" s="15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15">
        <v>0</v>
      </c>
      <c r="N77" s="15">
        <f t="shared" ref="N77:N140" si="5">G77+H77+I77+J77+K77+L77+M77</f>
        <v>0</v>
      </c>
      <c r="O77" s="15">
        <v>0</v>
      </c>
      <c r="P77" s="15">
        <v>2000</v>
      </c>
      <c r="Q77" s="15">
        <v>3000</v>
      </c>
      <c r="R77" s="15">
        <v>0</v>
      </c>
      <c r="S77" s="15">
        <v>0</v>
      </c>
      <c r="T77" s="15">
        <v>0</v>
      </c>
      <c r="U77" s="15">
        <f t="shared" ref="U77:U78" si="6">SUM(G77:T77)-N77</f>
        <v>5000</v>
      </c>
      <c r="V77" s="16">
        <f t="shared" si="4"/>
        <v>0</v>
      </c>
      <c r="W77" s="16">
        <f>N77+O77-'додаток сесія_2024_2028_161 (2'!O77</f>
        <v>0</v>
      </c>
    </row>
    <row r="78" spans="1:23" s="17" customFormat="1" ht="46.5" customHeight="1" x14ac:dyDescent="0.2">
      <c r="A78" s="18"/>
      <c r="B78" s="32"/>
      <c r="C78" s="71" t="s">
        <v>90</v>
      </c>
      <c r="D78" s="73" t="s">
        <v>88</v>
      </c>
      <c r="E78" s="70"/>
      <c r="F78" s="55" t="s">
        <v>13</v>
      </c>
      <c r="G78" s="15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15">
        <v>0</v>
      </c>
      <c r="N78" s="15">
        <f t="shared" si="5"/>
        <v>0</v>
      </c>
      <c r="O78" s="15">
        <v>0</v>
      </c>
      <c r="P78" s="15">
        <v>15000</v>
      </c>
      <c r="Q78" s="15">
        <v>2000</v>
      </c>
      <c r="R78" s="15">
        <v>0</v>
      </c>
      <c r="S78" s="15">
        <v>0</v>
      </c>
      <c r="T78" s="15">
        <v>0</v>
      </c>
      <c r="U78" s="15">
        <f t="shared" si="6"/>
        <v>17000</v>
      </c>
      <c r="V78" s="16">
        <f t="shared" si="4"/>
        <v>0</v>
      </c>
      <c r="W78" s="16">
        <f>N78+O78-'додаток сесія_2024_2028_161 (2'!O78</f>
        <v>0</v>
      </c>
    </row>
    <row r="79" spans="1:23" s="17" customFormat="1" ht="45" customHeight="1" x14ac:dyDescent="0.2">
      <c r="A79" s="567" t="s">
        <v>91</v>
      </c>
      <c r="B79" s="568"/>
      <c r="C79" s="74"/>
      <c r="D79" s="75"/>
      <c r="E79" s="477"/>
      <c r="F79" s="55" t="s">
        <v>13</v>
      </c>
      <c r="G79" s="77">
        <f t="shared" ref="G79:T79" si="7">SUM(G12:G78)-G39</f>
        <v>115838.47999999998</v>
      </c>
      <c r="H79" s="77">
        <f t="shared" si="7"/>
        <v>214504.09999999998</v>
      </c>
      <c r="I79" s="77">
        <f t="shared" si="7"/>
        <v>240425.5</v>
      </c>
      <c r="J79" s="77">
        <f t="shared" si="7"/>
        <v>295414.2</v>
      </c>
      <c r="K79" s="77">
        <f t="shared" si="7"/>
        <v>449477.26</v>
      </c>
      <c r="L79" s="77">
        <f t="shared" si="7"/>
        <v>628078.5</v>
      </c>
      <c r="M79" s="77">
        <f>SUM(M12:M78)-M39</f>
        <v>664788.29999999993</v>
      </c>
      <c r="N79" s="77">
        <f>SUM(N12:N78)-N39</f>
        <v>2608526.3399999994</v>
      </c>
      <c r="O79" s="77">
        <f t="shared" si="7"/>
        <v>854868.20000000007</v>
      </c>
      <c r="P79" s="77">
        <f t="shared" si="7"/>
        <v>1049319.9861399999</v>
      </c>
      <c r="Q79" s="77">
        <f t="shared" si="7"/>
        <v>1351521.6937400002</v>
      </c>
      <c r="R79" s="77">
        <f t="shared" si="7"/>
        <v>1519313.17924</v>
      </c>
      <c r="S79" s="77">
        <f t="shared" si="7"/>
        <v>1640186.26819</v>
      </c>
      <c r="T79" s="77">
        <f t="shared" si="7"/>
        <v>1862292.55482</v>
      </c>
      <c r="U79" s="77">
        <f>SUM(U12:U78)-U39</f>
        <v>10886028.222130001</v>
      </c>
      <c r="V79" s="16">
        <f t="shared" si="4"/>
        <v>0</v>
      </c>
      <c r="W79" s="16">
        <f>N79+O79-'додаток сесія_2024_2028_161 (2'!O79</f>
        <v>0</v>
      </c>
    </row>
    <row r="80" spans="1:23" s="17" customFormat="1" ht="45" customHeight="1" x14ac:dyDescent="0.2">
      <c r="A80" s="78">
        <v>2</v>
      </c>
      <c r="B80" s="600" t="s">
        <v>92</v>
      </c>
      <c r="C80" s="79" t="s">
        <v>93</v>
      </c>
      <c r="D80" s="29" t="s">
        <v>11</v>
      </c>
      <c r="E80" s="602" t="s">
        <v>94</v>
      </c>
      <c r="F80" s="55" t="s">
        <v>13</v>
      </c>
      <c r="G80" s="15">
        <v>134514.32</v>
      </c>
      <c r="H80" s="15">
        <f>146683.2+8661.9</f>
        <v>155345.1</v>
      </c>
      <c r="I80" s="15">
        <v>209068.1</v>
      </c>
      <c r="J80" s="15">
        <v>224749.2</v>
      </c>
      <c r="K80" s="15">
        <v>310495.3</v>
      </c>
      <c r="L80" s="15">
        <f>24514+5642.2</f>
        <v>30156.2</v>
      </c>
      <c r="M80" s="15">
        <v>0</v>
      </c>
      <c r="N80" s="15">
        <f t="shared" si="5"/>
        <v>1064328.22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f>SUM(G80:T80)-N80</f>
        <v>1064328.22</v>
      </c>
      <c r="V80" s="16">
        <f t="shared" si="4"/>
        <v>0</v>
      </c>
      <c r="W80" s="16">
        <f>N80+O80-'додаток сесія_2024_2028_161 (2'!O80</f>
        <v>0</v>
      </c>
    </row>
    <row r="81" spans="1:23" s="17" customFormat="1" ht="48.75" customHeight="1" x14ac:dyDescent="0.2">
      <c r="A81" s="78"/>
      <c r="B81" s="601"/>
      <c r="C81" s="79" t="s">
        <v>95</v>
      </c>
      <c r="D81" s="35" t="s">
        <v>29</v>
      </c>
      <c r="E81" s="602"/>
      <c r="F81" s="55" t="s">
        <v>13</v>
      </c>
      <c r="G81" s="15">
        <v>3000</v>
      </c>
      <c r="H81" s="15">
        <v>12000</v>
      </c>
      <c r="I81" s="15">
        <v>3745</v>
      </c>
      <c r="J81" s="15">
        <v>8100</v>
      </c>
      <c r="K81" s="15">
        <v>9720</v>
      </c>
      <c r="L81" s="15">
        <f>0+979.5</f>
        <v>979.5</v>
      </c>
      <c r="M81" s="15">
        <v>0</v>
      </c>
      <c r="N81" s="15">
        <f t="shared" si="5"/>
        <v>37544.5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f t="shared" ref="U81:U144" si="8">SUM(G81:T81)-N81</f>
        <v>37544.5</v>
      </c>
      <c r="V81" s="16">
        <f t="shared" si="4"/>
        <v>0</v>
      </c>
      <c r="W81" s="16">
        <f>N81+O81-'додаток сесія_2024_2028_161 (2'!O81</f>
        <v>0</v>
      </c>
    </row>
    <row r="82" spans="1:23" s="17" customFormat="1" ht="44.25" customHeight="1" x14ac:dyDescent="0.2">
      <c r="A82" s="78"/>
      <c r="B82" s="601"/>
      <c r="C82" s="79" t="s">
        <v>96</v>
      </c>
      <c r="D82" s="14" t="s">
        <v>18</v>
      </c>
      <c r="E82" s="18" t="s">
        <v>97</v>
      </c>
      <c r="F82" s="55" t="s">
        <v>13</v>
      </c>
      <c r="G82" s="20">
        <v>0</v>
      </c>
      <c r="H82" s="15">
        <f>498.2+2700</f>
        <v>3198.2</v>
      </c>
      <c r="I82" s="15">
        <v>0</v>
      </c>
      <c r="J82" s="15">
        <v>2200</v>
      </c>
      <c r="K82" s="15">
        <v>5500</v>
      </c>
      <c r="L82" s="15">
        <v>0</v>
      </c>
      <c r="M82" s="15">
        <v>0</v>
      </c>
      <c r="N82" s="15">
        <f t="shared" si="5"/>
        <v>10898.2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f t="shared" si="8"/>
        <v>10898.2</v>
      </c>
      <c r="V82" s="16">
        <f t="shared" si="4"/>
        <v>0</v>
      </c>
      <c r="W82" s="16">
        <f>N82+O82-'додаток сесія_2024_2028_161 (2'!O82</f>
        <v>0</v>
      </c>
    </row>
    <row r="83" spans="1:23" s="17" customFormat="1" ht="45.75" customHeight="1" x14ac:dyDescent="0.2">
      <c r="A83" s="64"/>
      <c r="B83" s="601"/>
      <c r="C83" s="79" t="s">
        <v>98</v>
      </c>
      <c r="D83" s="14" t="s">
        <v>29</v>
      </c>
      <c r="E83" s="18"/>
      <c r="F83" s="55" t="s">
        <v>13</v>
      </c>
      <c r="G83" s="15">
        <v>909</v>
      </c>
      <c r="H83" s="15">
        <v>1500</v>
      </c>
      <c r="I83" s="15">
        <v>1700</v>
      </c>
      <c r="J83" s="15">
        <v>1354.7</v>
      </c>
      <c r="K83" s="15">
        <v>1339.3</v>
      </c>
      <c r="L83" s="15">
        <f>0+564</f>
        <v>564</v>
      </c>
      <c r="M83" s="15">
        <v>0</v>
      </c>
      <c r="N83" s="15">
        <f t="shared" si="5"/>
        <v>7367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f t="shared" si="8"/>
        <v>7367</v>
      </c>
      <c r="V83" s="16">
        <f t="shared" si="4"/>
        <v>0</v>
      </c>
      <c r="W83" s="16">
        <f>N83+O83-'додаток сесія_2024_2028_161 (2'!O83</f>
        <v>0</v>
      </c>
    </row>
    <row r="84" spans="1:23" s="17" customFormat="1" ht="57.75" customHeight="1" x14ac:dyDescent="0.2">
      <c r="A84" s="64"/>
      <c r="B84" s="80"/>
      <c r="C84" s="79" t="s">
        <v>99</v>
      </c>
      <c r="D84" s="14" t="s">
        <v>29</v>
      </c>
      <c r="E84" s="18"/>
      <c r="F84" s="55" t="s">
        <v>13</v>
      </c>
      <c r="G84" s="20">
        <v>0</v>
      </c>
      <c r="H84" s="20">
        <v>0</v>
      </c>
      <c r="I84" s="20">
        <v>0</v>
      </c>
      <c r="J84" s="15">
        <v>12867</v>
      </c>
      <c r="K84" s="20">
        <v>0</v>
      </c>
      <c r="L84" s="20">
        <v>0</v>
      </c>
      <c r="M84" s="20">
        <v>16000</v>
      </c>
      <c r="N84" s="15">
        <f t="shared" si="5"/>
        <v>28867</v>
      </c>
      <c r="O84" s="20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f t="shared" si="8"/>
        <v>28867</v>
      </c>
      <c r="V84" s="16">
        <f t="shared" si="4"/>
        <v>0</v>
      </c>
      <c r="W84" s="16">
        <f>N84+O84-'додаток сесія_2024_2028_161 (2'!O84</f>
        <v>0</v>
      </c>
    </row>
    <row r="85" spans="1:23" s="17" customFormat="1" ht="46.5" customHeight="1" x14ac:dyDescent="0.2">
      <c r="A85" s="66"/>
      <c r="B85" s="469"/>
      <c r="C85" s="79" t="s">
        <v>100</v>
      </c>
      <c r="D85" s="14" t="s">
        <v>29</v>
      </c>
      <c r="E85" s="478"/>
      <c r="F85" s="55" t="s">
        <v>13</v>
      </c>
      <c r="G85" s="20">
        <v>0</v>
      </c>
      <c r="H85" s="15">
        <v>16000</v>
      </c>
      <c r="I85" s="20">
        <v>0</v>
      </c>
      <c r="J85" s="20">
        <v>0</v>
      </c>
      <c r="K85" s="20">
        <v>7218</v>
      </c>
      <c r="L85" s="20">
        <v>20000</v>
      </c>
      <c r="M85" s="20">
        <v>0</v>
      </c>
      <c r="N85" s="15">
        <f t="shared" si="5"/>
        <v>43218</v>
      </c>
      <c r="O85" s="20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f t="shared" si="8"/>
        <v>43218</v>
      </c>
      <c r="V85" s="16">
        <f t="shared" si="4"/>
        <v>0</v>
      </c>
      <c r="W85" s="16">
        <f>N85+O85-'додаток сесія_2024_2028_161 (2'!O85</f>
        <v>0</v>
      </c>
    </row>
    <row r="86" spans="1:23" s="17" customFormat="1" ht="81.75" customHeight="1" x14ac:dyDescent="0.2">
      <c r="A86" s="64"/>
      <c r="B86" s="82"/>
      <c r="C86" s="79" t="s">
        <v>396</v>
      </c>
      <c r="D86" s="13" t="s">
        <v>29</v>
      </c>
      <c r="E86" s="473"/>
      <c r="F86" s="55" t="s">
        <v>13</v>
      </c>
      <c r="G86" s="20">
        <v>0</v>
      </c>
      <c r="H86" s="15">
        <v>6000</v>
      </c>
      <c r="I86" s="20">
        <v>0</v>
      </c>
      <c r="J86" s="20">
        <v>8000</v>
      </c>
      <c r="K86" s="20">
        <v>0</v>
      </c>
      <c r="L86" s="20">
        <v>7042</v>
      </c>
      <c r="M86" s="20">
        <v>0</v>
      </c>
      <c r="N86" s="15">
        <f t="shared" si="5"/>
        <v>21042</v>
      </c>
      <c r="O86" s="20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f t="shared" si="8"/>
        <v>21042</v>
      </c>
      <c r="V86" s="16">
        <f t="shared" si="4"/>
        <v>0</v>
      </c>
      <c r="W86" s="16">
        <f>N86+O86-'додаток сесія_2024_2028_161 (2'!O86</f>
        <v>0</v>
      </c>
    </row>
    <row r="87" spans="1:23" s="17" customFormat="1" ht="42" customHeight="1" x14ac:dyDescent="0.2">
      <c r="A87" s="64"/>
      <c r="B87" s="19"/>
      <c r="C87" s="79" t="s">
        <v>102</v>
      </c>
      <c r="D87" s="23" t="s">
        <v>18</v>
      </c>
      <c r="E87" s="473"/>
      <c r="F87" s="55" t="s">
        <v>13</v>
      </c>
      <c r="G87" s="20">
        <v>0</v>
      </c>
      <c r="H87" s="15">
        <v>143</v>
      </c>
      <c r="I87" s="15">
        <v>195</v>
      </c>
      <c r="J87" s="15">
        <v>105</v>
      </c>
      <c r="K87" s="15">
        <v>105</v>
      </c>
      <c r="L87" s="15">
        <v>0</v>
      </c>
      <c r="M87" s="15">
        <v>0</v>
      </c>
      <c r="N87" s="15">
        <f t="shared" si="5"/>
        <v>548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f t="shared" si="8"/>
        <v>548</v>
      </c>
      <c r="V87" s="16">
        <f t="shared" si="4"/>
        <v>0</v>
      </c>
      <c r="W87" s="16">
        <f>N87+O87-'додаток сесія_2024_2028_161 (2'!O87</f>
        <v>0</v>
      </c>
    </row>
    <row r="88" spans="1:23" s="17" customFormat="1" ht="48.75" customHeight="1" x14ac:dyDescent="0.2">
      <c r="A88" s="64"/>
      <c r="B88" s="82"/>
      <c r="C88" s="79" t="s">
        <v>103</v>
      </c>
      <c r="D88" s="13" t="s">
        <v>18</v>
      </c>
      <c r="E88" s="473"/>
      <c r="F88" s="55" t="s">
        <v>13</v>
      </c>
      <c r="G88" s="20">
        <v>0</v>
      </c>
      <c r="H88" s="15">
        <v>1530.8</v>
      </c>
      <c r="I88" s="15">
        <v>490</v>
      </c>
      <c r="J88" s="15">
        <v>890</v>
      </c>
      <c r="K88" s="15">
        <v>0</v>
      </c>
      <c r="L88" s="15">
        <v>0</v>
      </c>
      <c r="M88" s="15">
        <v>0</v>
      </c>
      <c r="N88" s="15">
        <f t="shared" si="5"/>
        <v>2910.8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f t="shared" si="8"/>
        <v>2910.8</v>
      </c>
      <c r="V88" s="16">
        <f t="shared" si="4"/>
        <v>0</v>
      </c>
      <c r="W88" s="16">
        <f>N88+O88-'додаток сесія_2024_2028_161 (2'!O88</f>
        <v>0</v>
      </c>
    </row>
    <row r="89" spans="1:23" s="17" customFormat="1" ht="44.25" customHeight="1" x14ac:dyDescent="0.2">
      <c r="A89" s="64"/>
      <c r="B89" s="82"/>
      <c r="C89" s="79" t="s">
        <v>104</v>
      </c>
      <c r="D89" s="13" t="s">
        <v>29</v>
      </c>
      <c r="E89" s="473"/>
      <c r="F89" s="55" t="s">
        <v>13</v>
      </c>
      <c r="G89" s="20">
        <v>0</v>
      </c>
      <c r="H89" s="15">
        <v>8085</v>
      </c>
      <c r="I89" s="15">
        <v>290.89999999999998</v>
      </c>
      <c r="J89" s="15">
        <v>7367</v>
      </c>
      <c r="K89" s="15">
        <v>8499.5</v>
      </c>
      <c r="L89" s="15">
        <v>62100</v>
      </c>
      <c r="M89" s="15">
        <v>66000</v>
      </c>
      <c r="N89" s="15">
        <f t="shared" si="5"/>
        <v>152342.39999999999</v>
      </c>
      <c r="O89" s="15">
        <v>72600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f t="shared" si="8"/>
        <v>224942.4</v>
      </c>
      <c r="V89" s="16">
        <f t="shared" si="4"/>
        <v>0</v>
      </c>
      <c r="W89" s="16">
        <f>N89+O89-'додаток сесія_2024_2028_161 (2'!O89</f>
        <v>0</v>
      </c>
    </row>
    <row r="90" spans="1:23" s="17" customFormat="1" ht="43.5" customHeight="1" x14ac:dyDescent="0.2">
      <c r="A90" s="64"/>
      <c r="B90" s="30"/>
      <c r="C90" s="83" t="s">
        <v>105</v>
      </c>
      <c r="D90" s="35" t="s">
        <v>18</v>
      </c>
      <c r="E90" s="18"/>
      <c r="F90" s="55" t="s">
        <v>13</v>
      </c>
      <c r="G90" s="20">
        <v>0</v>
      </c>
      <c r="H90" s="15">
        <f>552+228</f>
        <v>780</v>
      </c>
      <c r="I90" s="15">
        <f>1936+2784</f>
        <v>4720</v>
      </c>
      <c r="J90" s="15">
        <f>1936+2784</f>
        <v>4720</v>
      </c>
      <c r="K90" s="15">
        <v>4720</v>
      </c>
      <c r="L90" s="15">
        <v>0</v>
      </c>
      <c r="M90" s="15">
        <v>0</v>
      </c>
      <c r="N90" s="15">
        <f t="shared" si="5"/>
        <v>14940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f t="shared" si="8"/>
        <v>14940</v>
      </c>
      <c r="V90" s="16">
        <f t="shared" si="4"/>
        <v>0</v>
      </c>
      <c r="W90" s="16">
        <f>N90+O90-'додаток сесія_2024_2028_161 (2'!O90</f>
        <v>0</v>
      </c>
    </row>
    <row r="91" spans="1:23" s="17" customFormat="1" ht="42" customHeight="1" x14ac:dyDescent="0.2">
      <c r="A91" s="21"/>
      <c r="B91" s="84"/>
      <c r="C91" s="85" t="s">
        <v>106</v>
      </c>
      <c r="D91" s="29" t="s">
        <v>18</v>
      </c>
      <c r="E91" s="18"/>
      <c r="F91" s="55" t="s">
        <v>13</v>
      </c>
      <c r="G91" s="20">
        <v>0</v>
      </c>
      <c r="H91" s="15">
        <v>176</v>
      </c>
      <c r="I91" s="15">
        <v>500</v>
      </c>
      <c r="J91" s="15">
        <v>0</v>
      </c>
      <c r="K91" s="15">
        <v>0</v>
      </c>
      <c r="L91" s="15">
        <v>0</v>
      </c>
      <c r="M91" s="15">
        <v>0</v>
      </c>
      <c r="N91" s="15">
        <f t="shared" si="5"/>
        <v>676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f t="shared" si="8"/>
        <v>676</v>
      </c>
      <c r="V91" s="16">
        <f t="shared" si="4"/>
        <v>0</v>
      </c>
      <c r="W91" s="16">
        <f>N91+O91-'додаток сесія_2024_2028_161 (2'!O91</f>
        <v>0</v>
      </c>
    </row>
    <row r="92" spans="1:23" s="17" customFormat="1" ht="72" customHeight="1" x14ac:dyDescent="0.2">
      <c r="A92" s="86"/>
      <c r="B92" s="87"/>
      <c r="C92" s="79" t="s">
        <v>363</v>
      </c>
      <c r="D92" s="14">
        <v>2019</v>
      </c>
      <c r="E92" s="479"/>
      <c r="F92" s="55" t="s">
        <v>13</v>
      </c>
      <c r="G92" s="20">
        <v>0</v>
      </c>
      <c r="H92" s="15">
        <v>0</v>
      </c>
      <c r="I92" s="15">
        <v>0</v>
      </c>
      <c r="J92" s="15">
        <v>240</v>
      </c>
      <c r="K92" s="15">
        <v>0</v>
      </c>
      <c r="L92" s="15">
        <v>0</v>
      </c>
      <c r="M92" s="15">
        <v>0</v>
      </c>
      <c r="N92" s="15">
        <f t="shared" si="5"/>
        <v>240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f t="shared" si="8"/>
        <v>240</v>
      </c>
      <c r="V92" s="16">
        <f t="shared" si="4"/>
        <v>0</v>
      </c>
      <c r="W92" s="16">
        <f>N92+O92-'додаток сесія_2024_2028_161 (2'!O92</f>
        <v>0</v>
      </c>
    </row>
    <row r="93" spans="1:23" s="17" customFormat="1" ht="42.75" customHeight="1" x14ac:dyDescent="0.2">
      <c r="A93" s="21"/>
      <c r="B93" s="84"/>
      <c r="C93" s="79" t="s">
        <v>107</v>
      </c>
      <c r="D93" s="13">
        <v>2020</v>
      </c>
      <c r="E93" s="473"/>
      <c r="F93" s="55" t="s">
        <v>13</v>
      </c>
      <c r="G93" s="20">
        <v>0</v>
      </c>
      <c r="H93" s="15">
        <v>0</v>
      </c>
      <c r="I93" s="15">
        <v>0</v>
      </c>
      <c r="J93" s="15">
        <v>0</v>
      </c>
      <c r="K93" s="15">
        <v>1334.27</v>
      </c>
      <c r="L93" s="15">
        <v>0</v>
      </c>
      <c r="M93" s="15">
        <v>0</v>
      </c>
      <c r="N93" s="15">
        <f t="shared" si="5"/>
        <v>1334.27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f t="shared" si="8"/>
        <v>1334.27</v>
      </c>
      <c r="V93" s="16">
        <f t="shared" si="4"/>
        <v>0</v>
      </c>
      <c r="W93" s="16">
        <f>N93+O93-'додаток сесія_2024_2028_161 (2'!O93</f>
        <v>0</v>
      </c>
    </row>
    <row r="94" spans="1:23" s="17" customFormat="1" ht="42.75" customHeight="1" x14ac:dyDescent="0.2">
      <c r="A94" s="21"/>
      <c r="B94" s="84"/>
      <c r="C94" s="79" t="s">
        <v>108</v>
      </c>
      <c r="D94" s="13" t="s">
        <v>109</v>
      </c>
      <c r="E94" s="473"/>
      <c r="F94" s="55" t="s">
        <v>13</v>
      </c>
      <c r="G94" s="20">
        <v>0</v>
      </c>
      <c r="H94" s="15">
        <v>0</v>
      </c>
      <c r="I94" s="15">
        <v>0</v>
      </c>
      <c r="J94" s="15">
        <v>0</v>
      </c>
      <c r="K94" s="15">
        <v>3500</v>
      </c>
      <c r="L94" s="15">
        <f>4500</f>
        <v>4500</v>
      </c>
      <c r="M94" s="15">
        <f>0+4500</f>
        <v>4500</v>
      </c>
      <c r="N94" s="15">
        <f t="shared" si="5"/>
        <v>12500</v>
      </c>
      <c r="O94" s="15">
        <v>4800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f t="shared" si="8"/>
        <v>17300</v>
      </c>
      <c r="V94" s="16">
        <f t="shared" si="4"/>
        <v>0</v>
      </c>
      <c r="W94" s="16">
        <f>N94+O94-'додаток сесія_2024_2028_161 (2'!O94</f>
        <v>0</v>
      </c>
    </row>
    <row r="95" spans="1:23" s="17" customFormat="1" ht="59.25" customHeight="1" x14ac:dyDescent="0.2">
      <c r="A95" s="341"/>
      <c r="B95" s="329"/>
      <c r="C95" s="79" t="s">
        <v>397</v>
      </c>
      <c r="D95" s="13">
        <v>2019</v>
      </c>
      <c r="E95" s="473"/>
      <c r="F95" s="55" t="s">
        <v>13</v>
      </c>
      <c r="G95" s="20">
        <v>0</v>
      </c>
      <c r="H95" s="15">
        <v>0</v>
      </c>
      <c r="I95" s="15">
        <v>0</v>
      </c>
      <c r="J95" s="15">
        <v>5200</v>
      </c>
      <c r="K95" s="15">
        <v>0</v>
      </c>
      <c r="L95" s="15">
        <v>0</v>
      </c>
      <c r="M95" s="15">
        <v>0</v>
      </c>
      <c r="N95" s="15">
        <f t="shared" si="5"/>
        <v>5200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f t="shared" si="8"/>
        <v>5200</v>
      </c>
      <c r="V95" s="16">
        <f t="shared" si="4"/>
        <v>0</v>
      </c>
      <c r="W95" s="16">
        <f>N95+O95-'додаток сесія_2024_2028_161 (2'!O95</f>
        <v>0</v>
      </c>
    </row>
    <row r="96" spans="1:23" s="17" customFormat="1" ht="71.25" customHeight="1" x14ac:dyDescent="0.2">
      <c r="A96" s="21"/>
      <c r="B96" s="329"/>
      <c r="C96" s="79" t="s">
        <v>111</v>
      </c>
      <c r="D96" s="23" t="s">
        <v>61</v>
      </c>
      <c r="E96" s="473"/>
      <c r="F96" s="55" t="s">
        <v>13</v>
      </c>
      <c r="G96" s="20">
        <v>0</v>
      </c>
      <c r="H96" s="15">
        <v>0</v>
      </c>
      <c r="I96" s="15">
        <v>0</v>
      </c>
      <c r="J96" s="15">
        <v>400</v>
      </c>
      <c r="K96" s="15">
        <v>0</v>
      </c>
      <c r="L96" s="15">
        <v>69.55</v>
      </c>
      <c r="M96" s="15">
        <v>0</v>
      </c>
      <c r="N96" s="15">
        <f t="shared" si="5"/>
        <v>469.55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f t="shared" si="8"/>
        <v>469.55</v>
      </c>
      <c r="V96" s="16">
        <f t="shared" si="4"/>
        <v>0</v>
      </c>
      <c r="W96" s="16">
        <f>N96+O96-'додаток сесія_2024_2028_161 (2'!O96</f>
        <v>0</v>
      </c>
    </row>
    <row r="97" spans="1:23" s="17" customFormat="1" ht="46.5" customHeight="1" x14ac:dyDescent="0.2">
      <c r="A97" s="21"/>
      <c r="B97" s="84"/>
      <c r="C97" s="79" t="s">
        <v>112</v>
      </c>
      <c r="D97" s="13" t="s">
        <v>68</v>
      </c>
      <c r="E97" s="473"/>
      <c r="F97" s="55" t="s">
        <v>13</v>
      </c>
      <c r="G97" s="20">
        <v>0</v>
      </c>
      <c r="H97" s="15">
        <v>0</v>
      </c>
      <c r="I97" s="15">
        <v>0</v>
      </c>
      <c r="J97" s="15">
        <v>30000</v>
      </c>
      <c r="K97" s="15">
        <v>0</v>
      </c>
      <c r="L97" s="15">
        <v>0</v>
      </c>
      <c r="M97" s="15">
        <v>0</v>
      </c>
      <c r="N97" s="15">
        <f t="shared" si="5"/>
        <v>30000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f t="shared" si="8"/>
        <v>30000</v>
      </c>
      <c r="V97" s="16">
        <f t="shared" si="4"/>
        <v>0</v>
      </c>
      <c r="W97" s="16">
        <f>N97+O97-'додаток сесія_2024_2028_161 (2'!O97</f>
        <v>0</v>
      </c>
    </row>
    <row r="98" spans="1:23" s="17" customFormat="1" ht="56.25" customHeight="1" x14ac:dyDescent="0.2">
      <c r="A98" s="78"/>
      <c r="B98" s="30"/>
      <c r="C98" s="79" t="s">
        <v>113</v>
      </c>
      <c r="D98" s="35" t="s">
        <v>61</v>
      </c>
      <c r="E98" s="18"/>
      <c r="F98" s="55" t="s">
        <v>13</v>
      </c>
      <c r="G98" s="20">
        <v>0</v>
      </c>
      <c r="H98" s="15">
        <v>0</v>
      </c>
      <c r="I98" s="15">
        <v>0</v>
      </c>
      <c r="J98" s="15">
        <v>7000</v>
      </c>
      <c r="K98" s="15">
        <v>13389</v>
      </c>
      <c r="L98" s="15">
        <f>0+4455</f>
        <v>4455</v>
      </c>
      <c r="M98" s="15">
        <f>0+2600+2000</f>
        <v>4600</v>
      </c>
      <c r="N98" s="15">
        <f t="shared" si="5"/>
        <v>29444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f t="shared" si="8"/>
        <v>29444</v>
      </c>
      <c r="V98" s="16">
        <f t="shared" si="4"/>
        <v>0</v>
      </c>
      <c r="W98" s="16">
        <f>N98+O98-'додаток сесія_2024_2028_161 (2'!O98</f>
        <v>0</v>
      </c>
    </row>
    <row r="99" spans="1:23" s="17" customFormat="1" ht="71.25" customHeight="1" x14ac:dyDescent="0.2">
      <c r="A99" s="86"/>
      <c r="B99" s="87"/>
      <c r="C99" s="79" t="s">
        <v>398</v>
      </c>
      <c r="D99" s="14" t="s">
        <v>109</v>
      </c>
      <c r="E99" s="18"/>
      <c r="F99" s="55" t="s">
        <v>13</v>
      </c>
      <c r="G99" s="20">
        <v>0</v>
      </c>
      <c r="H99" s="20">
        <v>0</v>
      </c>
      <c r="I99" s="20">
        <v>0</v>
      </c>
      <c r="J99" s="20">
        <v>0</v>
      </c>
      <c r="K99" s="15">
        <v>200</v>
      </c>
      <c r="L99" s="15">
        <v>97.64</v>
      </c>
      <c r="M99" s="15">
        <v>0</v>
      </c>
      <c r="N99" s="15">
        <f t="shared" si="5"/>
        <v>297.64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f t="shared" si="8"/>
        <v>297.64</v>
      </c>
      <c r="V99" s="16">
        <f t="shared" si="4"/>
        <v>0</v>
      </c>
      <c r="W99" s="16">
        <f>N99+O99-'додаток сесія_2024_2028_161 (2'!O99</f>
        <v>0</v>
      </c>
    </row>
    <row r="100" spans="1:23" s="17" customFormat="1" ht="41.25" customHeight="1" x14ac:dyDescent="0.2">
      <c r="A100" s="21"/>
      <c r="B100" s="84"/>
      <c r="C100" s="79" t="s">
        <v>115</v>
      </c>
      <c r="D100" s="13">
        <v>2020</v>
      </c>
      <c r="E100" s="473"/>
      <c r="F100" s="55" t="s">
        <v>13</v>
      </c>
      <c r="G100" s="20">
        <v>0</v>
      </c>
      <c r="H100" s="15">
        <v>0</v>
      </c>
      <c r="I100" s="15">
        <v>0</v>
      </c>
      <c r="J100" s="15">
        <v>0</v>
      </c>
      <c r="K100" s="15">
        <v>50000</v>
      </c>
      <c r="L100" s="15">
        <v>0</v>
      </c>
      <c r="M100" s="15">
        <v>0</v>
      </c>
      <c r="N100" s="15">
        <f t="shared" si="5"/>
        <v>50000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f t="shared" si="8"/>
        <v>50000</v>
      </c>
      <c r="V100" s="16">
        <f t="shared" si="4"/>
        <v>0</v>
      </c>
      <c r="W100" s="16">
        <f>N100+O100-'додаток сесія_2024_2028_161 (2'!O100</f>
        <v>0</v>
      </c>
    </row>
    <row r="101" spans="1:23" s="17" customFormat="1" ht="36" customHeight="1" x14ac:dyDescent="0.2">
      <c r="A101" s="21"/>
      <c r="B101" s="84"/>
      <c r="C101" s="79" t="s">
        <v>116</v>
      </c>
      <c r="D101" s="13">
        <v>2020</v>
      </c>
      <c r="E101" s="473"/>
      <c r="F101" s="55" t="s">
        <v>13</v>
      </c>
      <c r="G101" s="20">
        <v>0</v>
      </c>
      <c r="H101" s="15">
        <v>0</v>
      </c>
      <c r="I101" s="15">
        <v>0</v>
      </c>
      <c r="J101" s="15">
        <v>0</v>
      </c>
      <c r="K101" s="15">
        <v>690</v>
      </c>
      <c r="L101" s="15">
        <v>0</v>
      </c>
      <c r="M101" s="15">
        <v>0</v>
      </c>
      <c r="N101" s="15">
        <f t="shared" si="5"/>
        <v>690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f t="shared" si="8"/>
        <v>690</v>
      </c>
      <c r="V101" s="16">
        <f t="shared" si="4"/>
        <v>0</v>
      </c>
      <c r="W101" s="16">
        <f>N101+O101-'додаток сесія_2024_2028_161 (2'!O101</f>
        <v>0</v>
      </c>
    </row>
    <row r="102" spans="1:23" s="17" customFormat="1" ht="48.75" customHeight="1" x14ac:dyDescent="0.2">
      <c r="A102" s="330"/>
      <c r="B102" s="471"/>
      <c r="C102" s="83" t="s">
        <v>402</v>
      </c>
      <c r="D102" s="23">
        <v>2020</v>
      </c>
      <c r="E102" s="474"/>
      <c r="F102" s="55" t="s">
        <v>13</v>
      </c>
      <c r="G102" s="20">
        <v>0</v>
      </c>
      <c r="H102" s="15">
        <v>0</v>
      </c>
      <c r="I102" s="15">
        <v>0</v>
      </c>
      <c r="J102" s="15">
        <v>0</v>
      </c>
      <c r="K102" s="15">
        <v>900</v>
      </c>
      <c r="L102" s="15">
        <v>0</v>
      </c>
      <c r="M102" s="15">
        <v>0</v>
      </c>
      <c r="N102" s="15">
        <f t="shared" si="5"/>
        <v>900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f t="shared" si="8"/>
        <v>900</v>
      </c>
      <c r="V102" s="16">
        <f t="shared" si="4"/>
        <v>0</v>
      </c>
      <c r="W102" s="16">
        <f>N102+O102-'додаток сесія_2024_2028_161 (2'!O102</f>
        <v>0</v>
      </c>
    </row>
    <row r="103" spans="1:23" s="17" customFormat="1" ht="68.25" customHeight="1" x14ac:dyDescent="0.2">
      <c r="A103" s="88"/>
      <c r="B103" s="89"/>
      <c r="C103" s="85" t="s">
        <v>118</v>
      </c>
      <c r="D103" s="28" t="s">
        <v>109</v>
      </c>
      <c r="E103" s="473"/>
      <c r="F103" s="55" t="s">
        <v>13</v>
      </c>
      <c r="G103" s="20">
        <v>0</v>
      </c>
      <c r="H103" s="15">
        <v>0</v>
      </c>
      <c r="I103" s="15">
        <v>0</v>
      </c>
      <c r="J103" s="15">
        <v>0</v>
      </c>
      <c r="K103" s="15">
        <v>2334.5</v>
      </c>
      <c r="L103" s="15">
        <v>1892.3</v>
      </c>
      <c r="M103" s="15">
        <v>0</v>
      </c>
      <c r="N103" s="15">
        <f t="shared" si="5"/>
        <v>4226.8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f t="shared" si="8"/>
        <v>4226.8</v>
      </c>
      <c r="V103" s="16">
        <f t="shared" si="4"/>
        <v>0</v>
      </c>
      <c r="W103" s="16">
        <f>N103+O103-'додаток сесія_2024_2028_161 (2'!O103</f>
        <v>0</v>
      </c>
    </row>
    <row r="104" spans="1:23" s="17" customFormat="1" ht="41.25" customHeight="1" x14ac:dyDescent="0.2">
      <c r="A104" s="88"/>
      <c r="B104" s="89"/>
      <c r="C104" s="79" t="s">
        <v>119</v>
      </c>
      <c r="D104" s="13" t="s">
        <v>109</v>
      </c>
      <c r="E104" s="472"/>
      <c r="F104" s="55" t="s">
        <v>13</v>
      </c>
      <c r="G104" s="20">
        <v>0</v>
      </c>
      <c r="H104" s="15">
        <v>0</v>
      </c>
      <c r="I104" s="15">
        <v>0</v>
      </c>
      <c r="J104" s="15">
        <v>0</v>
      </c>
      <c r="K104" s="15">
        <v>1168.73</v>
      </c>
      <c r="L104" s="15">
        <f>0+320.8</f>
        <v>320.8</v>
      </c>
      <c r="M104" s="15">
        <v>0</v>
      </c>
      <c r="N104" s="15">
        <f t="shared" si="5"/>
        <v>1489.53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f t="shared" si="8"/>
        <v>1489.53</v>
      </c>
      <c r="V104" s="16">
        <f t="shared" si="4"/>
        <v>0</v>
      </c>
      <c r="W104" s="16">
        <f>N104+O104-'додаток сесія_2024_2028_161 (2'!O104</f>
        <v>0</v>
      </c>
    </row>
    <row r="105" spans="1:23" s="17" customFormat="1" ht="58.5" customHeight="1" x14ac:dyDescent="0.2">
      <c r="A105" s="88"/>
      <c r="B105" s="89"/>
      <c r="C105" s="79" t="s">
        <v>403</v>
      </c>
      <c r="D105" s="13" t="s">
        <v>121</v>
      </c>
      <c r="E105" s="472"/>
      <c r="F105" s="55" t="s">
        <v>13</v>
      </c>
      <c r="G105" s="20">
        <v>0</v>
      </c>
      <c r="H105" s="15">
        <v>0</v>
      </c>
      <c r="I105" s="15">
        <v>0</v>
      </c>
      <c r="J105" s="15">
        <v>0</v>
      </c>
      <c r="K105" s="15">
        <v>500</v>
      </c>
      <c r="L105" s="15">
        <v>500</v>
      </c>
      <c r="M105" s="15">
        <v>0</v>
      </c>
      <c r="N105" s="15">
        <f t="shared" si="5"/>
        <v>1000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f t="shared" si="8"/>
        <v>1000</v>
      </c>
      <c r="V105" s="16">
        <f t="shared" si="4"/>
        <v>0</v>
      </c>
      <c r="W105" s="16">
        <f>N105+O105-'додаток сесія_2024_2028_161 (2'!O105</f>
        <v>0</v>
      </c>
    </row>
    <row r="106" spans="1:23" s="17" customFormat="1" ht="41.25" customHeight="1" x14ac:dyDescent="0.2">
      <c r="A106" s="88"/>
      <c r="B106" s="89"/>
      <c r="C106" s="79" t="s">
        <v>122</v>
      </c>
      <c r="D106" s="13" t="s">
        <v>73</v>
      </c>
      <c r="E106" s="472"/>
      <c r="F106" s="55" t="s">
        <v>13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15">
        <v>5200</v>
      </c>
      <c r="M106" s="15">
        <f>2860-2860</f>
        <v>0</v>
      </c>
      <c r="N106" s="15">
        <f t="shared" si="5"/>
        <v>5200</v>
      </c>
      <c r="O106" s="15">
        <v>3150</v>
      </c>
      <c r="P106" s="15">
        <v>5500</v>
      </c>
      <c r="Q106" s="15">
        <v>0</v>
      </c>
      <c r="R106" s="15">
        <v>5600</v>
      </c>
      <c r="S106" s="15">
        <v>0</v>
      </c>
      <c r="T106" s="15">
        <v>0</v>
      </c>
      <c r="U106" s="15">
        <f t="shared" si="8"/>
        <v>19450</v>
      </c>
      <c r="V106" s="16">
        <f t="shared" si="4"/>
        <v>0</v>
      </c>
      <c r="W106" s="16">
        <f>N106+O106-'додаток сесія_2024_2028_161 (2'!O106</f>
        <v>0</v>
      </c>
    </row>
    <row r="107" spans="1:23" s="17" customFormat="1" ht="48" customHeight="1" x14ac:dyDescent="0.2">
      <c r="A107" s="88"/>
      <c r="B107" s="90"/>
      <c r="C107" s="79" t="s">
        <v>123</v>
      </c>
      <c r="D107" s="23" t="s">
        <v>71</v>
      </c>
      <c r="E107" s="472" t="s">
        <v>124</v>
      </c>
      <c r="F107" s="55" t="s">
        <v>13</v>
      </c>
      <c r="G107" s="20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2300</v>
      </c>
      <c r="M107" s="15">
        <v>0</v>
      </c>
      <c r="N107" s="15">
        <f t="shared" si="5"/>
        <v>2300</v>
      </c>
      <c r="O107" s="15">
        <v>2800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f t="shared" si="8"/>
        <v>5100</v>
      </c>
      <c r="V107" s="16">
        <f t="shared" si="4"/>
        <v>0</v>
      </c>
      <c r="W107" s="16">
        <f>N107+O107-'додаток сесія_2024_2028_161 (2'!O107</f>
        <v>0</v>
      </c>
    </row>
    <row r="108" spans="1:23" s="17" customFormat="1" ht="48.75" customHeight="1" x14ac:dyDescent="0.2">
      <c r="A108" s="88"/>
      <c r="B108" s="89"/>
      <c r="C108" s="79" t="s">
        <v>125</v>
      </c>
      <c r="D108" s="13" t="s">
        <v>71</v>
      </c>
      <c r="E108" s="472"/>
      <c r="F108" s="55" t="s">
        <v>13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15">
        <v>24900</v>
      </c>
      <c r="M108" s="15">
        <f>27309.5-27309.5</f>
        <v>0</v>
      </c>
      <c r="N108" s="15">
        <f t="shared" si="5"/>
        <v>24900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f t="shared" si="8"/>
        <v>24900</v>
      </c>
      <c r="V108" s="16">
        <f t="shared" si="4"/>
        <v>0</v>
      </c>
      <c r="W108" s="16">
        <f>N108+O108-'додаток сесія_2024_2028_161 (2'!O108</f>
        <v>0</v>
      </c>
    </row>
    <row r="109" spans="1:23" s="17" customFormat="1" ht="44.25" customHeight="1" x14ac:dyDescent="0.2">
      <c r="A109" s="88"/>
      <c r="B109" s="89"/>
      <c r="C109" s="79" t="s">
        <v>126</v>
      </c>
      <c r="D109" s="13" t="s">
        <v>71</v>
      </c>
      <c r="E109" s="472"/>
      <c r="F109" s="55" t="s">
        <v>13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15">
        <v>1000</v>
      </c>
      <c r="M109" s="15">
        <v>0</v>
      </c>
      <c r="N109" s="15">
        <f t="shared" si="5"/>
        <v>1000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f t="shared" si="8"/>
        <v>1000</v>
      </c>
      <c r="V109" s="16">
        <f t="shared" si="4"/>
        <v>0</v>
      </c>
      <c r="W109" s="16">
        <f>N109+O109-'додаток сесія_2024_2028_161 (2'!O109</f>
        <v>0</v>
      </c>
    </row>
    <row r="110" spans="1:23" s="17" customFormat="1" ht="48.75" customHeight="1" x14ac:dyDescent="0.2">
      <c r="A110" s="88"/>
      <c r="B110" s="89"/>
      <c r="C110" s="79" t="s">
        <v>127</v>
      </c>
      <c r="D110" s="13" t="s">
        <v>73</v>
      </c>
      <c r="E110" s="472"/>
      <c r="F110" s="55" t="s">
        <v>13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15">
        <v>425000</v>
      </c>
      <c r="M110" s="15">
        <v>510000</v>
      </c>
      <c r="N110" s="15">
        <f t="shared" si="5"/>
        <v>935000</v>
      </c>
      <c r="O110" s="15">
        <f>225000-14520</f>
        <v>210480</v>
      </c>
      <c r="P110" s="15">
        <v>0</v>
      </c>
      <c r="Q110" s="15">
        <v>250000</v>
      </c>
      <c r="R110" s="15">
        <v>264500</v>
      </c>
      <c r="S110" s="15">
        <v>300000</v>
      </c>
      <c r="T110" s="15">
        <v>317400</v>
      </c>
      <c r="U110" s="15">
        <f t="shared" si="8"/>
        <v>2277380</v>
      </c>
      <c r="V110" s="16">
        <f t="shared" si="4"/>
        <v>0</v>
      </c>
      <c r="W110" s="16">
        <f>N110+O110-'додаток сесія_2024_2028_161 (2'!O110</f>
        <v>0</v>
      </c>
    </row>
    <row r="111" spans="1:23" s="17" customFormat="1" ht="46.5" customHeight="1" x14ac:dyDescent="0.2">
      <c r="A111" s="88"/>
      <c r="B111" s="90"/>
      <c r="C111" s="79" t="s">
        <v>128</v>
      </c>
      <c r="D111" s="13" t="s">
        <v>71</v>
      </c>
      <c r="E111" s="472"/>
      <c r="F111" s="55" t="s">
        <v>13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15">
        <v>0</v>
      </c>
      <c r="M111" s="15">
        <v>400</v>
      </c>
      <c r="N111" s="15">
        <f t="shared" si="5"/>
        <v>400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f t="shared" si="8"/>
        <v>400</v>
      </c>
      <c r="V111" s="16">
        <f t="shared" si="4"/>
        <v>0</v>
      </c>
      <c r="W111" s="16">
        <f>N111+O111-'додаток сесія_2024_2028_161 (2'!O111</f>
        <v>0</v>
      </c>
    </row>
    <row r="112" spans="1:23" s="17" customFormat="1" ht="48" customHeight="1" x14ac:dyDescent="0.2">
      <c r="A112" s="88"/>
      <c r="B112" s="89"/>
      <c r="C112" s="79" t="s">
        <v>387</v>
      </c>
      <c r="D112" s="13" t="s">
        <v>71</v>
      </c>
      <c r="E112" s="472"/>
      <c r="F112" s="55" t="s">
        <v>13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15">
        <v>0</v>
      </c>
      <c r="M112" s="15">
        <v>300</v>
      </c>
      <c r="N112" s="15">
        <f t="shared" si="5"/>
        <v>300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f t="shared" si="8"/>
        <v>300</v>
      </c>
      <c r="V112" s="16">
        <f t="shared" si="4"/>
        <v>0</v>
      </c>
      <c r="W112" s="16">
        <f>N112+O112-'додаток сесія_2024_2028_161 (2'!O112</f>
        <v>0</v>
      </c>
    </row>
    <row r="113" spans="1:23" s="17" customFormat="1" ht="47.25" customHeight="1" x14ac:dyDescent="0.2">
      <c r="A113" s="88"/>
      <c r="B113" s="89"/>
      <c r="C113" s="79" t="s">
        <v>390</v>
      </c>
      <c r="D113" s="13" t="s">
        <v>71</v>
      </c>
      <c r="E113" s="472"/>
      <c r="F113" s="55" t="s">
        <v>13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15">
        <v>0</v>
      </c>
      <c r="M113" s="15">
        <v>200</v>
      </c>
      <c r="N113" s="15">
        <f t="shared" si="5"/>
        <v>200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f t="shared" si="8"/>
        <v>200</v>
      </c>
      <c r="V113" s="16">
        <f t="shared" si="4"/>
        <v>0</v>
      </c>
      <c r="W113" s="16">
        <f>N113+O113-'додаток сесія_2024_2028_161 (2'!O113</f>
        <v>0</v>
      </c>
    </row>
    <row r="114" spans="1:23" s="17" customFormat="1" ht="44.25" customHeight="1" x14ac:dyDescent="0.2">
      <c r="A114" s="91"/>
      <c r="B114" s="92"/>
      <c r="C114" s="79" t="s">
        <v>364</v>
      </c>
      <c r="D114" s="93" t="s">
        <v>71</v>
      </c>
      <c r="E114" s="78"/>
      <c r="F114" s="55" t="s">
        <v>13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15">
        <v>0</v>
      </c>
      <c r="M114" s="15">
        <v>120</v>
      </c>
      <c r="N114" s="15">
        <f t="shared" si="5"/>
        <v>120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f t="shared" si="8"/>
        <v>120</v>
      </c>
      <c r="V114" s="16">
        <f t="shared" si="4"/>
        <v>0</v>
      </c>
      <c r="W114" s="16">
        <f>N114+O114-'додаток сесія_2024_2028_161 (2'!O114</f>
        <v>0</v>
      </c>
    </row>
    <row r="115" spans="1:23" s="17" customFormat="1" ht="45.75" customHeight="1" x14ac:dyDescent="0.2">
      <c r="A115" s="91"/>
      <c r="B115" s="92"/>
      <c r="C115" s="79" t="s">
        <v>365</v>
      </c>
      <c r="D115" s="55" t="s">
        <v>71</v>
      </c>
      <c r="E115" s="78"/>
      <c r="F115" s="55" t="s">
        <v>13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15">
        <v>0</v>
      </c>
      <c r="M115" s="15">
        <v>135</v>
      </c>
      <c r="N115" s="15">
        <f t="shared" si="5"/>
        <v>135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f t="shared" si="8"/>
        <v>135</v>
      </c>
      <c r="V115" s="16">
        <f t="shared" si="4"/>
        <v>0</v>
      </c>
      <c r="W115" s="16">
        <f>N115+O115-'додаток сесія_2024_2028_161 (2'!O115</f>
        <v>0</v>
      </c>
    </row>
    <row r="116" spans="1:23" s="17" customFormat="1" ht="48" customHeight="1" x14ac:dyDescent="0.2">
      <c r="A116" s="88"/>
      <c r="B116" s="89"/>
      <c r="C116" s="79" t="s">
        <v>366</v>
      </c>
      <c r="D116" s="13" t="s">
        <v>71</v>
      </c>
      <c r="E116" s="472"/>
      <c r="F116" s="55" t="s">
        <v>13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15">
        <v>0</v>
      </c>
      <c r="M116" s="15">
        <v>150</v>
      </c>
      <c r="N116" s="15">
        <f t="shared" si="5"/>
        <v>150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f t="shared" si="8"/>
        <v>150</v>
      </c>
      <c r="V116" s="16">
        <f t="shared" si="4"/>
        <v>0</v>
      </c>
      <c r="W116" s="16">
        <f>N116+O116-'додаток сесія_2024_2028_161 (2'!O116</f>
        <v>0</v>
      </c>
    </row>
    <row r="117" spans="1:23" s="17" customFormat="1" ht="46.5" customHeight="1" x14ac:dyDescent="0.2">
      <c r="A117" s="94"/>
      <c r="B117" s="92"/>
      <c r="C117" s="83" t="s">
        <v>130</v>
      </c>
      <c r="D117" s="35" t="s">
        <v>71</v>
      </c>
      <c r="E117" s="78"/>
      <c r="F117" s="55" t="s">
        <v>13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15">
        <v>0</v>
      </c>
      <c r="M117" s="15">
        <v>320</v>
      </c>
      <c r="N117" s="15">
        <f t="shared" si="5"/>
        <v>320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f t="shared" si="8"/>
        <v>320</v>
      </c>
      <c r="V117" s="16">
        <f t="shared" si="4"/>
        <v>0</v>
      </c>
      <c r="W117" s="16">
        <f>N117+O117-'додаток сесія_2024_2028_161 (2'!O117</f>
        <v>0</v>
      </c>
    </row>
    <row r="118" spans="1:23" s="17" customFormat="1" ht="56.25" customHeight="1" x14ac:dyDescent="0.2">
      <c r="A118" s="94"/>
      <c r="B118" s="92"/>
      <c r="C118" s="85" t="s">
        <v>131</v>
      </c>
      <c r="D118" s="29" t="s">
        <v>71</v>
      </c>
      <c r="E118" s="78"/>
      <c r="F118" s="55" t="s">
        <v>13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15">
        <v>500</v>
      </c>
      <c r="M118" s="15">
        <v>0</v>
      </c>
      <c r="N118" s="15">
        <f t="shared" si="5"/>
        <v>500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f t="shared" si="8"/>
        <v>500</v>
      </c>
      <c r="V118" s="16">
        <f t="shared" si="4"/>
        <v>0</v>
      </c>
      <c r="W118" s="16">
        <f>N118+O118-'додаток сесія_2024_2028_161 (2'!O118</f>
        <v>0</v>
      </c>
    </row>
    <row r="119" spans="1:23" s="17" customFormat="1" ht="50.25" customHeight="1" x14ac:dyDescent="0.2">
      <c r="A119" s="88"/>
      <c r="B119" s="89"/>
      <c r="C119" s="79" t="s">
        <v>132</v>
      </c>
      <c r="D119" s="13" t="s">
        <v>71</v>
      </c>
      <c r="E119" s="472"/>
      <c r="F119" s="55" t="s">
        <v>13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15">
        <v>0</v>
      </c>
      <c r="M119" s="15">
        <v>500</v>
      </c>
      <c r="N119" s="15">
        <f t="shared" si="5"/>
        <v>500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f t="shared" si="8"/>
        <v>500</v>
      </c>
      <c r="V119" s="16">
        <f t="shared" si="4"/>
        <v>0</v>
      </c>
      <c r="W119" s="16">
        <f>N119+O119-'додаток сесія_2024_2028_161 (2'!O119</f>
        <v>0</v>
      </c>
    </row>
    <row r="120" spans="1:23" s="17" customFormat="1" ht="48" customHeight="1" x14ac:dyDescent="0.2">
      <c r="A120" s="332"/>
      <c r="B120" s="333"/>
      <c r="C120" s="79" t="s">
        <v>133</v>
      </c>
      <c r="D120" s="13" t="s">
        <v>71</v>
      </c>
      <c r="E120" s="476"/>
      <c r="F120" s="55" t="s">
        <v>13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15">
        <v>410</v>
      </c>
      <c r="M120" s="15">
        <v>0</v>
      </c>
      <c r="N120" s="15">
        <f t="shared" si="5"/>
        <v>410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f t="shared" si="8"/>
        <v>410</v>
      </c>
      <c r="V120" s="16">
        <f t="shared" si="4"/>
        <v>0</v>
      </c>
      <c r="W120" s="16">
        <f>N120+O120-'додаток сесія_2024_2028_161 (2'!O120</f>
        <v>0</v>
      </c>
    </row>
    <row r="121" spans="1:23" s="17" customFormat="1" ht="39.75" customHeight="1" x14ac:dyDescent="0.2">
      <c r="A121" s="88"/>
      <c r="B121" s="89"/>
      <c r="C121" s="79" t="s">
        <v>134</v>
      </c>
      <c r="D121" s="13" t="s">
        <v>71</v>
      </c>
      <c r="E121" s="472"/>
      <c r="F121" s="55" t="s">
        <v>13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15">
        <v>0</v>
      </c>
      <c r="M121" s="15">
        <v>0</v>
      </c>
      <c r="N121" s="15">
        <f t="shared" si="5"/>
        <v>0</v>
      </c>
      <c r="O121" s="15">
        <v>15000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f t="shared" si="8"/>
        <v>15000</v>
      </c>
      <c r="V121" s="16">
        <f t="shared" si="4"/>
        <v>0</v>
      </c>
      <c r="W121" s="16">
        <f>N121+O121-'додаток сесія_2024_2028_161 (2'!O121</f>
        <v>0</v>
      </c>
    </row>
    <row r="122" spans="1:23" s="17" customFormat="1" ht="47.25" customHeight="1" x14ac:dyDescent="0.2">
      <c r="A122" s="88"/>
      <c r="B122" s="89"/>
      <c r="C122" s="79" t="s">
        <v>135</v>
      </c>
      <c r="D122" s="13" t="s">
        <v>71</v>
      </c>
      <c r="E122" s="472"/>
      <c r="F122" s="55" t="s">
        <v>13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15">
        <v>0</v>
      </c>
      <c r="M122" s="15">
        <v>0</v>
      </c>
      <c r="N122" s="15">
        <f t="shared" si="5"/>
        <v>0</v>
      </c>
      <c r="O122" s="15">
        <v>3400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f t="shared" si="8"/>
        <v>3400</v>
      </c>
      <c r="V122" s="16">
        <f t="shared" si="4"/>
        <v>0</v>
      </c>
      <c r="W122" s="16">
        <f>N122+O122-'додаток сесія_2024_2028_161 (2'!O122</f>
        <v>0</v>
      </c>
    </row>
    <row r="123" spans="1:23" s="17" customFormat="1" ht="45.75" customHeight="1" x14ac:dyDescent="0.2">
      <c r="A123" s="91"/>
      <c r="B123" s="92"/>
      <c r="C123" s="79" t="s">
        <v>136</v>
      </c>
      <c r="D123" s="13" t="s">
        <v>71</v>
      </c>
      <c r="E123" s="472"/>
      <c r="F123" s="55" t="s">
        <v>13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15">
        <v>0</v>
      </c>
      <c r="M123" s="15">
        <v>0</v>
      </c>
      <c r="N123" s="15">
        <f t="shared" si="5"/>
        <v>0</v>
      </c>
      <c r="O123" s="15">
        <v>1200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f t="shared" si="8"/>
        <v>1200</v>
      </c>
      <c r="V123" s="16">
        <f t="shared" si="4"/>
        <v>0</v>
      </c>
      <c r="W123" s="16">
        <f>N123+O123-'додаток сесія_2024_2028_161 (2'!O123</f>
        <v>0</v>
      </c>
    </row>
    <row r="124" spans="1:23" s="17" customFormat="1" ht="48.75" customHeight="1" x14ac:dyDescent="0.2">
      <c r="A124" s="91"/>
      <c r="B124" s="92"/>
      <c r="C124" s="79" t="s">
        <v>137</v>
      </c>
      <c r="D124" s="13" t="s">
        <v>71</v>
      </c>
      <c r="E124" s="472"/>
      <c r="F124" s="55" t="s">
        <v>13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15">
        <v>0</v>
      </c>
      <c r="M124" s="15">
        <v>1000</v>
      </c>
      <c r="N124" s="15">
        <f t="shared" si="5"/>
        <v>1000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f t="shared" si="8"/>
        <v>1000</v>
      </c>
      <c r="V124" s="16">
        <f t="shared" si="4"/>
        <v>0</v>
      </c>
      <c r="W124" s="16">
        <f>N124+O124-'додаток сесія_2024_2028_161 (2'!O124</f>
        <v>0</v>
      </c>
    </row>
    <row r="125" spans="1:23" s="17" customFormat="1" ht="44.25" customHeight="1" x14ac:dyDescent="0.2">
      <c r="A125" s="91"/>
      <c r="B125" s="92"/>
      <c r="C125" s="79" t="s">
        <v>138</v>
      </c>
      <c r="D125" s="13" t="s">
        <v>71</v>
      </c>
      <c r="E125" s="472"/>
      <c r="F125" s="55" t="s">
        <v>13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15">
        <v>0</v>
      </c>
      <c r="M125" s="15">
        <v>0</v>
      </c>
      <c r="N125" s="15">
        <f t="shared" si="5"/>
        <v>0</v>
      </c>
      <c r="O125" s="15">
        <v>300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f t="shared" si="8"/>
        <v>300</v>
      </c>
      <c r="V125" s="16">
        <f t="shared" si="4"/>
        <v>0</v>
      </c>
      <c r="W125" s="16">
        <f>N125+O125-'додаток сесія_2024_2028_161 (2'!O125</f>
        <v>0</v>
      </c>
    </row>
    <row r="126" spans="1:23" s="17" customFormat="1" ht="48.75" customHeight="1" x14ac:dyDescent="0.2">
      <c r="A126" s="88"/>
      <c r="B126" s="89"/>
      <c r="C126" s="79" t="s">
        <v>139</v>
      </c>
      <c r="D126" s="13" t="s">
        <v>71</v>
      </c>
      <c r="E126" s="472"/>
      <c r="F126" s="55" t="s">
        <v>13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15">
        <v>0</v>
      </c>
      <c r="M126" s="15">
        <v>0</v>
      </c>
      <c r="N126" s="15">
        <f t="shared" si="5"/>
        <v>0</v>
      </c>
      <c r="O126" s="15">
        <v>350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f t="shared" si="8"/>
        <v>350</v>
      </c>
      <c r="V126" s="16">
        <f t="shared" si="4"/>
        <v>0</v>
      </c>
      <c r="W126" s="16">
        <f>N126+O126-'додаток сесія_2024_2028_161 (2'!O126</f>
        <v>0</v>
      </c>
    </row>
    <row r="127" spans="1:23" s="17" customFormat="1" ht="43.5" customHeight="1" x14ac:dyDescent="0.2">
      <c r="A127" s="91"/>
      <c r="B127" s="92"/>
      <c r="C127" s="79" t="s">
        <v>140</v>
      </c>
      <c r="D127" s="35" t="s">
        <v>71</v>
      </c>
      <c r="E127" s="78"/>
      <c r="F127" s="55" t="s">
        <v>13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15">
        <v>0</v>
      </c>
      <c r="M127" s="15">
        <v>0</v>
      </c>
      <c r="N127" s="15">
        <f t="shared" si="5"/>
        <v>0</v>
      </c>
      <c r="O127" s="15">
        <v>400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f t="shared" si="8"/>
        <v>400</v>
      </c>
      <c r="V127" s="16">
        <f t="shared" si="4"/>
        <v>0</v>
      </c>
      <c r="W127" s="16">
        <f>N127+O127-'додаток сесія_2024_2028_161 (2'!O127</f>
        <v>0</v>
      </c>
    </row>
    <row r="128" spans="1:23" s="17" customFormat="1" ht="45.75" customHeight="1" x14ac:dyDescent="0.2">
      <c r="A128" s="88"/>
      <c r="B128" s="89"/>
      <c r="C128" s="79" t="s">
        <v>141</v>
      </c>
      <c r="D128" s="13" t="s">
        <v>71</v>
      </c>
      <c r="E128" s="472"/>
      <c r="F128" s="55" t="s">
        <v>13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15">
        <v>0</v>
      </c>
      <c r="M128" s="15">
        <f>5000-5000</f>
        <v>0</v>
      </c>
      <c r="N128" s="15">
        <f t="shared" si="5"/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f t="shared" si="8"/>
        <v>0</v>
      </c>
      <c r="V128" s="16">
        <f t="shared" si="4"/>
        <v>0</v>
      </c>
      <c r="W128" s="16">
        <f>N128+O128-'додаток сесія_2024_2028_161 (2'!O128</f>
        <v>0</v>
      </c>
    </row>
    <row r="129" spans="1:23" s="17" customFormat="1" ht="39.75" customHeight="1" x14ac:dyDescent="0.2">
      <c r="A129" s="88"/>
      <c r="B129" s="90"/>
      <c r="C129" s="79" t="s">
        <v>142</v>
      </c>
      <c r="D129" s="13" t="s">
        <v>71</v>
      </c>
      <c r="E129" s="472"/>
      <c r="F129" s="55" t="s">
        <v>13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15">
        <v>0</v>
      </c>
      <c r="M129" s="15">
        <v>0</v>
      </c>
      <c r="N129" s="15">
        <f t="shared" si="5"/>
        <v>0</v>
      </c>
      <c r="O129" s="15">
        <v>12000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f t="shared" si="8"/>
        <v>12000</v>
      </c>
      <c r="V129" s="16">
        <f t="shared" si="4"/>
        <v>0</v>
      </c>
      <c r="W129" s="16">
        <f>N129+O129-'додаток сесія_2024_2028_161 (2'!O129</f>
        <v>0</v>
      </c>
    </row>
    <row r="130" spans="1:23" s="17" customFormat="1" ht="50.25" customHeight="1" x14ac:dyDescent="0.2">
      <c r="A130" s="88"/>
      <c r="B130" s="89"/>
      <c r="C130" s="79" t="s">
        <v>143</v>
      </c>
      <c r="D130" s="13" t="s">
        <v>71</v>
      </c>
      <c r="E130" s="472"/>
      <c r="F130" s="55" t="s">
        <v>13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15">
        <v>0</v>
      </c>
      <c r="M130" s="15">
        <f>18000-488.9+99.5</f>
        <v>17610.599999999999</v>
      </c>
      <c r="N130" s="15">
        <f t="shared" si="5"/>
        <v>17610.599999999999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f t="shared" si="8"/>
        <v>17610.599999999999</v>
      </c>
      <c r="V130" s="16">
        <f t="shared" si="4"/>
        <v>0</v>
      </c>
      <c r="W130" s="16">
        <f>N130+O130-'додаток сесія_2024_2028_161 (2'!O130</f>
        <v>0</v>
      </c>
    </row>
    <row r="131" spans="1:23" s="17" customFormat="1" ht="48" customHeight="1" x14ac:dyDescent="0.2">
      <c r="A131" s="88"/>
      <c r="B131" s="89"/>
      <c r="C131" s="79" t="s">
        <v>144</v>
      </c>
      <c r="D131" s="13" t="s">
        <v>71</v>
      </c>
      <c r="E131" s="472"/>
      <c r="F131" s="55" t="s">
        <v>13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15">
        <v>0</v>
      </c>
      <c r="M131" s="15">
        <v>0</v>
      </c>
      <c r="N131" s="15">
        <f t="shared" si="5"/>
        <v>0</v>
      </c>
      <c r="O131" s="15">
        <v>18000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f t="shared" si="8"/>
        <v>18000</v>
      </c>
      <c r="V131" s="16">
        <f t="shared" si="4"/>
        <v>0</v>
      </c>
      <c r="W131" s="16">
        <f>N131+O131-'додаток сесія_2024_2028_161 (2'!O131</f>
        <v>0</v>
      </c>
    </row>
    <row r="132" spans="1:23" s="17" customFormat="1" ht="45.75" customHeight="1" x14ac:dyDescent="0.2">
      <c r="A132" s="88"/>
      <c r="B132" s="89"/>
      <c r="C132" s="79" t="s">
        <v>367</v>
      </c>
      <c r="D132" s="13" t="s">
        <v>71</v>
      </c>
      <c r="E132" s="472"/>
      <c r="F132" s="55" t="s">
        <v>13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15">
        <v>0</v>
      </c>
      <c r="M132" s="15">
        <v>120</v>
      </c>
      <c r="N132" s="15">
        <f t="shared" si="5"/>
        <v>120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f t="shared" si="8"/>
        <v>120</v>
      </c>
      <c r="V132" s="16">
        <f t="shared" si="4"/>
        <v>0</v>
      </c>
      <c r="W132" s="16">
        <f>N132+O132-'додаток сесія_2024_2028_161 (2'!O132</f>
        <v>0</v>
      </c>
    </row>
    <row r="133" spans="1:23" s="17" customFormat="1" ht="51" customHeight="1" x14ac:dyDescent="0.2">
      <c r="A133" s="91"/>
      <c r="B133" s="92"/>
      <c r="C133" s="79" t="s">
        <v>325</v>
      </c>
      <c r="D133" s="93" t="s">
        <v>71</v>
      </c>
      <c r="E133" s="78"/>
      <c r="F133" s="55" t="s">
        <v>13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15">
        <v>0</v>
      </c>
      <c r="M133" s="15">
        <v>135</v>
      </c>
      <c r="N133" s="15">
        <f t="shared" si="5"/>
        <v>135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f t="shared" si="8"/>
        <v>135</v>
      </c>
      <c r="V133" s="16">
        <f t="shared" si="4"/>
        <v>0</v>
      </c>
      <c r="W133" s="16">
        <f>N133+O133-'додаток сесія_2024_2028_161 (2'!O133</f>
        <v>0</v>
      </c>
    </row>
    <row r="134" spans="1:23" s="17" customFormat="1" ht="45.75" customHeight="1" x14ac:dyDescent="0.2">
      <c r="A134" s="91"/>
      <c r="B134" s="92"/>
      <c r="C134" s="79" t="s">
        <v>145</v>
      </c>
      <c r="D134" s="93" t="s">
        <v>71</v>
      </c>
      <c r="E134" s="78"/>
      <c r="F134" s="55" t="s">
        <v>13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15">
        <v>0</v>
      </c>
      <c r="M134" s="15">
        <v>0</v>
      </c>
      <c r="N134" s="15">
        <f t="shared" si="5"/>
        <v>0</v>
      </c>
      <c r="O134" s="15">
        <v>300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f t="shared" si="8"/>
        <v>300</v>
      </c>
      <c r="V134" s="16">
        <f t="shared" si="4"/>
        <v>0</v>
      </c>
      <c r="W134" s="16">
        <f>N134+O134-'додаток сесія_2024_2028_161 (2'!O134</f>
        <v>0</v>
      </c>
    </row>
    <row r="135" spans="1:23" s="17" customFormat="1" ht="48.75" customHeight="1" x14ac:dyDescent="0.2">
      <c r="A135" s="88"/>
      <c r="B135" s="89"/>
      <c r="C135" s="79" t="s">
        <v>368</v>
      </c>
      <c r="D135" s="13" t="s">
        <v>71</v>
      </c>
      <c r="E135" s="472"/>
      <c r="F135" s="55" t="s">
        <v>13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15">
        <v>0</v>
      </c>
      <c r="M135" s="15">
        <v>0</v>
      </c>
      <c r="N135" s="15">
        <f t="shared" si="5"/>
        <v>0</v>
      </c>
      <c r="O135" s="15">
        <v>350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f t="shared" si="8"/>
        <v>350</v>
      </c>
      <c r="V135" s="16">
        <f t="shared" si="4"/>
        <v>0</v>
      </c>
      <c r="W135" s="16">
        <f>N135+O135-'додаток сесія_2024_2028_161 (2'!O135</f>
        <v>0</v>
      </c>
    </row>
    <row r="136" spans="1:23" s="17" customFormat="1" ht="43.5" customHeight="1" x14ac:dyDescent="0.2">
      <c r="A136" s="91"/>
      <c r="B136" s="92"/>
      <c r="C136" s="83" t="s">
        <v>369</v>
      </c>
      <c r="D136" s="35" t="s">
        <v>71</v>
      </c>
      <c r="E136" s="78"/>
      <c r="F136" s="55" t="s">
        <v>13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15">
        <f>700-700</f>
        <v>0</v>
      </c>
      <c r="M136" s="15">
        <f>880</f>
        <v>880</v>
      </c>
      <c r="N136" s="15">
        <f t="shared" si="5"/>
        <v>880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f t="shared" si="8"/>
        <v>880</v>
      </c>
      <c r="V136" s="16">
        <f t="shared" si="4"/>
        <v>0</v>
      </c>
      <c r="W136" s="16">
        <f>N136+O136-'додаток сесія_2024_2028_161 (2'!O136</f>
        <v>0</v>
      </c>
    </row>
    <row r="137" spans="1:23" s="17" customFormat="1" ht="53.25" customHeight="1" x14ac:dyDescent="0.2">
      <c r="A137" s="91"/>
      <c r="B137" s="92"/>
      <c r="C137" s="85" t="s">
        <v>370</v>
      </c>
      <c r="D137" s="29" t="s">
        <v>71</v>
      </c>
      <c r="E137" s="78"/>
      <c r="F137" s="55" t="s">
        <v>13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15">
        <v>0</v>
      </c>
      <c r="M137" s="15">
        <v>1750</v>
      </c>
      <c r="N137" s="15">
        <f t="shared" si="5"/>
        <v>1750</v>
      </c>
      <c r="O137" s="15">
        <v>2200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f t="shared" si="8"/>
        <v>3950</v>
      </c>
      <c r="V137" s="16">
        <f t="shared" si="4"/>
        <v>0</v>
      </c>
      <c r="W137" s="16">
        <f>N137+O137-'додаток сесія_2024_2028_161 (2'!O137</f>
        <v>0</v>
      </c>
    </row>
    <row r="138" spans="1:23" s="17" customFormat="1" ht="48.75" customHeight="1" x14ac:dyDescent="0.2">
      <c r="A138" s="88"/>
      <c r="B138" s="89"/>
      <c r="C138" s="79" t="s">
        <v>146</v>
      </c>
      <c r="D138" s="13" t="s">
        <v>71</v>
      </c>
      <c r="E138" s="472"/>
      <c r="F138" s="55" t="s">
        <v>13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15">
        <v>500</v>
      </c>
      <c r="M138" s="15">
        <v>0</v>
      </c>
      <c r="N138" s="15">
        <f t="shared" si="5"/>
        <v>500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f t="shared" si="8"/>
        <v>500</v>
      </c>
      <c r="V138" s="16">
        <f t="shared" si="4"/>
        <v>0</v>
      </c>
      <c r="W138" s="16">
        <f>N138+O138-'додаток сесія_2024_2028_161 (2'!O138</f>
        <v>0</v>
      </c>
    </row>
    <row r="139" spans="1:23" s="17" customFormat="1" ht="45.75" customHeight="1" x14ac:dyDescent="0.2">
      <c r="A139" s="332"/>
      <c r="B139" s="333"/>
      <c r="C139" s="79" t="s">
        <v>147</v>
      </c>
      <c r="D139" s="13" t="s">
        <v>71</v>
      </c>
      <c r="E139" s="476"/>
      <c r="F139" s="55" t="s">
        <v>13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15">
        <v>0</v>
      </c>
      <c r="M139" s="15">
        <f>2000</f>
        <v>2000</v>
      </c>
      <c r="N139" s="15">
        <f t="shared" si="5"/>
        <v>2000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f t="shared" si="8"/>
        <v>2000</v>
      </c>
      <c r="V139" s="16">
        <f t="shared" si="4"/>
        <v>0</v>
      </c>
      <c r="W139" s="16">
        <f>N139+O139-'додаток сесія_2024_2028_161 (2'!O139</f>
        <v>0</v>
      </c>
    </row>
    <row r="140" spans="1:23" s="17" customFormat="1" ht="49.5" customHeight="1" x14ac:dyDescent="0.2">
      <c r="A140" s="88"/>
      <c r="B140" s="89"/>
      <c r="C140" s="79" t="s">
        <v>148</v>
      </c>
      <c r="D140" s="13" t="s">
        <v>73</v>
      </c>
      <c r="E140" s="472"/>
      <c r="F140" s="55" t="s">
        <v>13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15">
        <v>20000</v>
      </c>
      <c r="M140" s="15">
        <f>22000+28000</f>
        <v>50000</v>
      </c>
      <c r="N140" s="15">
        <f t="shared" si="5"/>
        <v>70000</v>
      </c>
      <c r="O140" s="15">
        <f>24200+265.6</f>
        <v>24465.599999999999</v>
      </c>
      <c r="P140" s="15">
        <v>33993</v>
      </c>
      <c r="Q140" s="15">
        <v>36372.51</v>
      </c>
      <c r="R140" s="15">
        <v>38482.115580000005</v>
      </c>
      <c r="S140" s="15">
        <v>40714.07828364001</v>
      </c>
      <c r="T140" s="15">
        <v>43075.494824091133</v>
      </c>
      <c r="U140" s="15">
        <f t="shared" si="8"/>
        <v>287102.79868773121</v>
      </c>
      <c r="V140" s="16">
        <f t="shared" ref="V140:V203" si="9">G140+H140+I140+J140+K140+L140+M140+O140+P140+Q140+R140+S140+T140-U140</f>
        <v>0</v>
      </c>
      <c r="W140" s="16">
        <f>N140+O140-'додаток сесія_2024_2028_161 (2'!O140</f>
        <v>0</v>
      </c>
    </row>
    <row r="141" spans="1:23" s="17" customFormat="1" ht="42.75" customHeight="1" x14ac:dyDescent="0.2">
      <c r="A141" s="88"/>
      <c r="B141" s="89"/>
      <c r="C141" s="79" t="s">
        <v>149</v>
      </c>
      <c r="D141" s="13" t="s">
        <v>71</v>
      </c>
      <c r="E141" s="472"/>
      <c r="F141" s="55" t="s">
        <v>13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15">
        <f>4000+349.7-4349.7</f>
        <v>0</v>
      </c>
      <c r="M141" s="15">
        <f>0+4349.7</f>
        <v>4349.7</v>
      </c>
      <c r="N141" s="15">
        <f t="shared" ref="N141:N204" si="10">G141+H141+I141+J141+K141+L141+M141</f>
        <v>4349.7</v>
      </c>
      <c r="O141" s="15">
        <f>2100-2100</f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f t="shared" si="8"/>
        <v>4349.7</v>
      </c>
      <c r="V141" s="16">
        <f t="shared" si="9"/>
        <v>0</v>
      </c>
      <c r="W141" s="16">
        <f>N141+O141-'додаток сесія_2024_2028_161 (2'!O141</f>
        <v>0</v>
      </c>
    </row>
    <row r="142" spans="1:23" s="17" customFormat="1" ht="43.5" customHeight="1" x14ac:dyDescent="0.2">
      <c r="A142" s="88"/>
      <c r="B142" s="89"/>
      <c r="C142" s="79" t="s">
        <v>150</v>
      </c>
      <c r="D142" s="13" t="s">
        <v>71</v>
      </c>
      <c r="E142" s="472"/>
      <c r="F142" s="55" t="s">
        <v>13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15">
        <v>4500</v>
      </c>
      <c r="M142" s="15">
        <f>5000-5000</f>
        <v>0</v>
      </c>
      <c r="N142" s="15">
        <f t="shared" si="10"/>
        <v>4500</v>
      </c>
      <c r="O142" s="15">
        <v>5500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f t="shared" si="8"/>
        <v>10000</v>
      </c>
      <c r="V142" s="16">
        <f t="shared" si="9"/>
        <v>0</v>
      </c>
      <c r="W142" s="16">
        <f>N142+O142-'додаток сесія_2024_2028_161 (2'!O142</f>
        <v>0</v>
      </c>
    </row>
    <row r="143" spans="1:23" s="17" customFormat="1" ht="45" customHeight="1" x14ac:dyDescent="0.2">
      <c r="A143" s="88"/>
      <c r="B143" s="89"/>
      <c r="C143" s="79" t="s">
        <v>151</v>
      </c>
      <c r="D143" s="13" t="s">
        <v>71</v>
      </c>
      <c r="E143" s="472"/>
      <c r="F143" s="55" t="s">
        <v>13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15">
        <f>4000-349.7</f>
        <v>3650.3</v>
      </c>
      <c r="M143" s="15">
        <v>0</v>
      </c>
      <c r="N143" s="15">
        <f t="shared" si="10"/>
        <v>3650.3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f t="shared" si="8"/>
        <v>3650.3</v>
      </c>
      <c r="V143" s="16">
        <f t="shared" si="9"/>
        <v>0</v>
      </c>
      <c r="W143" s="16">
        <f>N143+O143-'додаток сесія_2024_2028_161 (2'!O143</f>
        <v>0</v>
      </c>
    </row>
    <row r="144" spans="1:23" s="17" customFormat="1" ht="43.5" customHeight="1" x14ac:dyDescent="0.2">
      <c r="A144" s="88"/>
      <c r="B144" s="89"/>
      <c r="C144" s="79" t="s">
        <v>152</v>
      </c>
      <c r="D144" s="13" t="s">
        <v>73</v>
      </c>
      <c r="E144" s="472"/>
      <c r="F144" s="55" t="s">
        <v>13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15">
        <v>0</v>
      </c>
      <c r="M144" s="15">
        <f>2500</f>
        <v>2500</v>
      </c>
      <c r="N144" s="15">
        <f t="shared" si="10"/>
        <v>2500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7800</v>
      </c>
      <c r="U144" s="15">
        <f t="shared" si="8"/>
        <v>10300</v>
      </c>
      <c r="V144" s="16">
        <f t="shared" si="9"/>
        <v>0</v>
      </c>
      <c r="W144" s="16">
        <f>N144+O144-'додаток сесія_2024_2028_161 (2'!O144</f>
        <v>0</v>
      </c>
    </row>
    <row r="145" spans="1:23" s="17" customFormat="1" ht="50.25" customHeight="1" x14ac:dyDescent="0.2">
      <c r="A145" s="88"/>
      <c r="B145" s="89"/>
      <c r="C145" s="79" t="s">
        <v>153</v>
      </c>
      <c r="D145" s="13" t="s">
        <v>73</v>
      </c>
      <c r="E145" s="472"/>
      <c r="F145" s="55" t="s">
        <v>13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15">
        <v>2500</v>
      </c>
      <c r="M145" s="15">
        <v>2750</v>
      </c>
      <c r="N145" s="15">
        <f t="shared" si="10"/>
        <v>5250</v>
      </c>
      <c r="O145" s="15">
        <f>2900+2100-500</f>
        <v>4500</v>
      </c>
      <c r="P145" s="15">
        <v>6500</v>
      </c>
      <c r="Q145" s="15">
        <v>0</v>
      </c>
      <c r="R145" s="15">
        <v>7100</v>
      </c>
      <c r="S145" s="15">
        <v>0</v>
      </c>
      <c r="T145" s="15">
        <v>0</v>
      </c>
      <c r="U145" s="15">
        <f t="shared" ref="U145:U208" si="11">SUM(G145:T145)-N145</f>
        <v>23350</v>
      </c>
      <c r="V145" s="16">
        <f t="shared" si="9"/>
        <v>0</v>
      </c>
      <c r="W145" s="16">
        <f>N145+O145-'додаток сесія_2024_2028_161 (2'!O145</f>
        <v>0</v>
      </c>
    </row>
    <row r="146" spans="1:23" s="17" customFormat="1" ht="48" customHeight="1" x14ac:dyDescent="0.2">
      <c r="A146" s="94"/>
      <c r="B146" s="92"/>
      <c r="C146" s="79" t="s">
        <v>154</v>
      </c>
      <c r="D146" s="35" t="s">
        <v>71</v>
      </c>
      <c r="E146" s="78"/>
      <c r="F146" s="55" t="s">
        <v>13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15">
        <v>900</v>
      </c>
      <c r="M146" s="15">
        <v>0</v>
      </c>
      <c r="N146" s="15">
        <f t="shared" si="10"/>
        <v>900</v>
      </c>
      <c r="O146" s="15">
        <v>1100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f t="shared" si="11"/>
        <v>2000</v>
      </c>
      <c r="V146" s="16">
        <f t="shared" si="9"/>
        <v>0</v>
      </c>
      <c r="W146" s="16">
        <f>N146+O146-'додаток сесія_2024_2028_161 (2'!O146</f>
        <v>0</v>
      </c>
    </row>
    <row r="147" spans="1:23" s="17" customFormat="1" ht="45" customHeight="1" x14ac:dyDescent="0.2">
      <c r="A147" s="94"/>
      <c r="B147" s="92"/>
      <c r="C147" s="79" t="s">
        <v>155</v>
      </c>
      <c r="D147" s="14" t="s">
        <v>71</v>
      </c>
      <c r="E147" s="78"/>
      <c r="F147" s="55" t="s">
        <v>13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15">
        <v>300</v>
      </c>
      <c r="M147" s="15">
        <f>330-330</f>
        <v>0</v>
      </c>
      <c r="N147" s="15">
        <f t="shared" si="10"/>
        <v>300</v>
      </c>
      <c r="O147" s="15">
        <f>370-265.6</f>
        <v>104.39999999999998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f t="shared" si="11"/>
        <v>404.4</v>
      </c>
      <c r="V147" s="16">
        <f t="shared" si="9"/>
        <v>0</v>
      </c>
      <c r="W147" s="16">
        <f>N147+O147-'додаток сесія_2024_2028_161 (2'!O147</f>
        <v>0</v>
      </c>
    </row>
    <row r="148" spans="1:23" s="17" customFormat="1" ht="39.75" customHeight="1" x14ac:dyDescent="0.2">
      <c r="A148" s="88"/>
      <c r="B148" s="89"/>
      <c r="C148" s="79" t="s">
        <v>156</v>
      </c>
      <c r="D148" s="13" t="s">
        <v>73</v>
      </c>
      <c r="E148" s="472"/>
      <c r="F148" s="55" t="s">
        <v>13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15">
        <v>0</v>
      </c>
      <c r="M148" s="15">
        <v>0</v>
      </c>
      <c r="N148" s="15">
        <f t="shared" si="10"/>
        <v>0</v>
      </c>
      <c r="O148" s="15">
        <v>4000</v>
      </c>
      <c r="P148" s="15">
        <v>0</v>
      </c>
      <c r="Q148" s="15">
        <v>0</v>
      </c>
      <c r="R148" s="15">
        <v>0</v>
      </c>
      <c r="S148" s="15">
        <v>6157</v>
      </c>
      <c r="T148" s="15">
        <v>0</v>
      </c>
      <c r="U148" s="15">
        <f t="shared" si="11"/>
        <v>10157</v>
      </c>
      <c r="V148" s="16">
        <f t="shared" si="9"/>
        <v>0</v>
      </c>
      <c r="W148" s="16">
        <f>N148+O148-'додаток сесія_2024_2028_161 (2'!O148</f>
        <v>0</v>
      </c>
    </row>
    <row r="149" spans="1:23" s="17" customFormat="1" ht="57.75" customHeight="1" x14ac:dyDescent="0.2">
      <c r="A149" s="88"/>
      <c r="B149" s="89"/>
      <c r="C149" s="79" t="s">
        <v>157</v>
      </c>
      <c r="D149" s="13" t="s">
        <v>73</v>
      </c>
      <c r="E149" s="472"/>
      <c r="F149" s="55" t="s">
        <v>13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15">
        <v>0</v>
      </c>
      <c r="M149" s="15">
        <f>7000-2000</f>
        <v>5000</v>
      </c>
      <c r="N149" s="15">
        <f t="shared" si="10"/>
        <v>5000</v>
      </c>
      <c r="O149" s="15">
        <v>7700</v>
      </c>
      <c r="P149" s="15">
        <v>0</v>
      </c>
      <c r="Q149" s="15">
        <v>0</v>
      </c>
      <c r="R149" s="15">
        <v>0</v>
      </c>
      <c r="S149" s="15">
        <v>9500</v>
      </c>
      <c r="T149" s="15">
        <v>0</v>
      </c>
      <c r="U149" s="15">
        <f t="shared" si="11"/>
        <v>22200</v>
      </c>
      <c r="V149" s="16">
        <f t="shared" si="9"/>
        <v>0</v>
      </c>
      <c r="W149" s="16">
        <f>N149+O149-'додаток сесія_2024_2028_161 (2'!O149</f>
        <v>0</v>
      </c>
    </row>
    <row r="150" spans="1:23" s="17" customFormat="1" ht="41.25" customHeight="1" x14ac:dyDescent="0.2">
      <c r="A150" s="88"/>
      <c r="B150" s="89"/>
      <c r="C150" s="79" t="s">
        <v>158</v>
      </c>
      <c r="D150" s="13" t="s">
        <v>71</v>
      </c>
      <c r="E150" s="472"/>
      <c r="F150" s="55" t="s">
        <v>13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15">
        <f>5000-2397</f>
        <v>2603</v>
      </c>
      <c r="M150" s="15">
        <f>5500</f>
        <v>5500</v>
      </c>
      <c r="N150" s="15">
        <f t="shared" si="10"/>
        <v>8103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f t="shared" si="11"/>
        <v>8103</v>
      </c>
      <c r="V150" s="16">
        <f t="shared" si="9"/>
        <v>0</v>
      </c>
      <c r="W150" s="16">
        <f>N150+O150-'додаток сесія_2024_2028_161 (2'!O150</f>
        <v>0</v>
      </c>
    </row>
    <row r="151" spans="1:23" s="17" customFormat="1" ht="54" customHeight="1" x14ac:dyDescent="0.2">
      <c r="A151" s="88"/>
      <c r="B151" s="89"/>
      <c r="C151" s="79" t="s">
        <v>159</v>
      </c>
      <c r="D151" s="13" t="s">
        <v>73</v>
      </c>
      <c r="E151" s="472"/>
      <c r="F151" s="55" t="s">
        <v>13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15">
        <v>65000</v>
      </c>
      <c r="M151" s="15">
        <v>0</v>
      </c>
      <c r="N151" s="15">
        <f t="shared" si="10"/>
        <v>65000</v>
      </c>
      <c r="O151" s="15">
        <v>0</v>
      </c>
      <c r="P151" s="15">
        <v>0</v>
      </c>
      <c r="Q151" s="15">
        <v>212000</v>
      </c>
      <c r="R151" s="15">
        <v>0</v>
      </c>
      <c r="S151" s="15">
        <v>0</v>
      </c>
      <c r="T151" s="15">
        <v>0</v>
      </c>
      <c r="U151" s="15">
        <f t="shared" si="11"/>
        <v>277000</v>
      </c>
      <c r="V151" s="16">
        <f t="shared" si="9"/>
        <v>0</v>
      </c>
      <c r="W151" s="16">
        <f>N151+O151-'додаток сесія_2024_2028_161 (2'!O151</f>
        <v>0</v>
      </c>
    </row>
    <row r="152" spans="1:23" s="17" customFormat="1" ht="46.5" customHeight="1" x14ac:dyDescent="0.2">
      <c r="A152" s="88"/>
      <c r="B152" s="89"/>
      <c r="C152" s="79" t="s">
        <v>371</v>
      </c>
      <c r="D152" s="13" t="s">
        <v>73</v>
      </c>
      <c r="E152" s="472"/>
      <c r="F152" s="55" t="s">
        <v>13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15">
        <v>0</v>
      </c>
      <c r="M152" s="15">
        <f>7700-7700</f>
        <v>0</v>
      </c>
      <c r="N152" s="15">
        <f t="shared" si="10"/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16300</v>
      </c>
      <c r="U152" s="15">
        <f t="shared" si="11"/>
        <v>16300</v>
      </c>
      <c r="V152" s="16">
        <f t="shared" si="9"/>
        <v>0</v>
      </c>
      <c r="W152" s="16">
        <f>N152+O152-'додаток сесія_2024_2028_161 (2'!O152</f>
        <v>0</v>
      </c>
    </row>
    <row r="153" spans="1:23" s="17" customFormat="1" ht="44.25" customHeight="1" x14ac:dyDescent="0.2">
      <c r="A153" s="88"/>
      <c r="B153" s="90"/>
      <c r="C153" s="83" t="s">
        <v>160</v>
      </c>
      <c r="D153" s="23" t="s">
        <v>73</v>
      </c>
      <c r="E153" s="472"/>
      <c r="F153" s="55" t="s">
        <v>13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15">
        <v>0</v>
      </c>
      <c r="M153" s="15">
        <v>0</v>
      </c>
      <c r="N153" s="15">
        <f t="shared" si="10"/>
        <v>0</v>
      </c>
      <c r="O153" s="15">
        <v>8500</v>
      </c>
      <c r="P153" s="15">
        <v>0</v>
      </c>
      <c r="Q153" s="15">
        <v>0</v>
      </c>
      <c r="R153" s="15">
        <v>0</v>
      </c>
      <c r="S153" s="15">
        <v>3860</v>
      </c>
      <c r="T153" s="15">
        <v>0</v>
      </c>
      <c r="U153" s="15">
        <f t="shared" si="11"/>
        <v>12360</v>
      </c>
      <c r="V153" s="16">
        <f t="shared" si="9"/>
        <v>0</v>
      </c>
      <c r="W153" s="16">
        <f>N153+O153-'додаток сесія_2024_2028_161 (2'!O153</f>
        <v>0</v>
      </c>
    </row>
    <row r="154" spans="1:23" s="17" customFormat="1" ht="69" customHeight="1" x14ac:dyDescent="0.2">
      <c r="A154" s="88"/>
      <c r="B154" s="89"/>
      <c r="C154" s="85" t="s">
        <v>391</v>
      </c>
      <c r="D154" s="28" t="s">
        <v>71</v>
      </c>
      <c r="E154" s="472"/>
      <c r="F154" s="55" t="s">
        <v>13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15">
        <v>78600</v>
      </c>
      <c r="M154" s="15">
        <v>78400</v>
      </c>
      <c r="N154" s="15">
        <f t="shared" si="10"/>
        <v>157000</v>
      </c>
      <c r="O154" s="15">
        <v>78500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f t="shared" si="11"/>
        <v>235500</v>
      </c>
      <c r="V154" s="16">
        <f t="shared" si="9"/>
        <v>0</v>
      </c>
      <c r="W154" s="16">
        <f>N154+O154-'додаток сесія_2024_2028_161 (2'!O154</f>
        <v>0</v>
      </c>
    </row>
    <row r="155" spans="1:23" s="17" customFormat="1" ht="46.5" customHeight="1" x14ac:dyDescent="0.2">
      <c r="A155" s="91"/>
      <c r="B155" s="92"/>
      <c r="C155" s="79" t="s">
        <v>161</v>
      </c>
      <c r="D155" s="13" t="s">
        <v>71</v>
      </c>
      <c r="E155" s="472"/>
      <c r="F155" s="55" t="s">
        <v>13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15">
        <v>46839</v>
      </c>
      <c r="M155" s="15">
        <v>52023</v>
      </c>
      <c r="N155" s="15">
        <f t="shared" si="10"/>
        <v>98862</v>
      </c>
      <c r="O155" s="15">
        <v>100985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f t="shared" si="11"/>
        <v>199847</v>
      </c>
      <c r="V155" s="16">
        <f t="shared" si="9"/>
        <v>0</v>
      </c>
      <c r="W155" s="16">
        <f>N155+O155-'додаток сесія_2024_2028_161 (2'!O155</f>
        <v>0</v>
      </c>
    </row>
    <row r="156" spans="1:23" s="17" customFormat="1" ht="51.75" customHeight="1" x14ac:dyDescent="0.2">
      <c r="A156" s="91"/>
      <c r="B156" s="92"/>
      <c r="C156" s="79" t="s">
        <v>162</v>
      </c>
      <c r="D156" s="14" t="s">
        <v>73</v>
      </c>
      <c r="E156" s="78"/>
      <c r="F156" s="55" t="s">
        <v>13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15">
        <v>487872.01</v>
      </c>
      <c r="M156" s="15">
        <f>565781.7-700</f>
        <v>565081.69999999995</v>
      </c>
      <c r="N156" s="15">
        <f t="shared" si="10"/>
        <v>1052953.71</v>
      </c>
      <c r="O156" s="15">
        <v>606173.69999999995</v>
      </c>
      <c r="P156" s="15">
        <v>715064.5</v>
      </c>
      <c r="Q156" s="15">
        <v>777154.5</v>
      </c>
      <c r="R156" s="15">
        <v>837218.4</v>
      </c>
      <c r="S156" s="15">
        <v>902652.4</v>
      </c>
      <c r="T156" s="15">
        <v>973021.7</v>
      </c>
      <c r="U156" s="15">
        <f t="shared" si="11"/>
        <v>5864238.9100000011</v>
      </c>
      <c r="V156" s="16">
        <f t="shared" si="9"/>
        <v>0</v>
      </c>
      <c r="W156" s="16">
        <f>N156+O156-'додаток сесія_2024_2028_161 (2'!O156</f>
        <v>0</v>
      </c>
    </row>
    <row r="157" spans="1:23" s="17" customFormat="1" ht="47.25" customHeight="1" x14ac:dyDescent="0.2">
      <c r="A157" s="91"/>
      <c r="B157" s="92"/>
      <c r="C157" s="79" t="s">
        <v>346</v>
      </c>
      <c r="D157" s="95">
        <v>2021</v>
      </c>
      <c r="E157" s="473"/>
      <c r="F157" s="55" t="s">
        <v>13</v>
      </c>
      <c r="G157" s="20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241.5</v>
      </c>
      <c r="M157" s="15">
        <v>0</v>
      </c>
      <c r="N157" s="15">
        <f t="shared" si="10"/>
        <v>241.5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f t="shared" si="11"/>
        <v>241.5</v>
      </c>
      <c r="V157" s="16">
        <f t="shared" si="9"/>
        <v>0</v>
      </c>
      <c r="W157" s="16">
        <f>N157+O157-'додаток сесія_2024_2028_161 (2'!O157</f>
        <v>0</v>
      </c>
    </row>
    <row r="158" spans="1:23" s="17" customFormat="1" ht="42" customHeight="1" x14ac:dyDescent="0.2">
      <c r="A158" s="336"/>
      <c r="B158" s="335"/>
      <c r="C158" s="79" t="s">
        <v>373</v>
      </c>
      <c r="D158" s="95">
        <v>2021</v>
      </c>
      <c r="E158" s="474"/>
      <c r="F158" s="55" t="s">
        <v>13</v>
      </c>
      <c r="G158" s="20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f>0+400</f>
        <v>400</v>
      </c>
      <c r="M158" s="15">
        <v>0</v>
      </c>
      <c r="N158" s="15">
        <f t="shared" si="10"/>
        <v>400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f t="shared" si="11"/>
        <v>400</v>
      </c>
      <c r="V158" s="16">
        <f t="shared" si="9"/>
        <v>0</v>
      </c>
      <c r="W158" s="16">
        <f>N158+O158-'додаток сесія_2024_2028_161 (2'!O158</f>
        <v>0</v>
      </c>
    </row>
    <row r="159" spans="1:23" s="17" customFormat="1" ht="44.25" customHeight="1" x14ac:dyDescent="0.2">
      <c r="A159" s="91"/>
      <c r="B159" s="92"/>
      <c r="C159" s="79" t="s">
        <v>164</v>
      </c>
      <c r="D159" s="95">
        <v>2021</v>
      </c>
      <c r="E159" s="473"/>
      <c r="F159" s="55" t="s">
        <v>13</v>
      </c>
      <c r="G159" s="20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f>0+300</f>
        <v>300</v>
      </c>
      <c r="M159" s="15">
        <v>0</v>
      </c>
      <c r="N159" s="15">
        <f t="shared" si="10"/>
        <v>300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f t="shared" si="11"/>
        <v>300</v>
      </c>
      <c r="V159" s="16">
        <f t="shared" si="9"/>
        <v>0</v>
      </c>
      <c r="W159" s="16">
        <f>N159+O159-'додаток сесія_2024_2028_161 (2'!O159</f>
        <v>0</v>
      </c>
    </row>
    <row r="160" spans="1:23" s="17" customFormat="1" ht="47.25" customHeight="1" x14ac:dyDescent="0.2">
      <c r="A160" s="91"/>
      <c r="B160" s="92"/>
      <c r="C160" s="79" t="s">
        <v>349</v>
      </c>
      <c r="D160" s="95">
        <v>2021</v>
      </c>
      <c r="E160" s="473"/>
      <c r="F160" s="55" t="s">
        <v>13</v>
      </c>
      <c r="G160" s="20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2397</v>
      </c>
      <c r="M160" s="15">
        <v>0</v>
      </c>
      <c r="N160" s="15">
        <f t="shared" si="10"/>
        <v>2397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f t="shared" si="11"/>
        <v>2397</v>
      </c>
      <c r="V160" s="16">
        <f t="shared" si="9"/>
        <v>0</v>
      </c>
      <c r="W160" s="16">
        <f>N160+O160-'додаток сесія_2024_2028_161 (2'!O160</f>
        <v>0</v>
      </c>
    </row>
    <row r="161" spans="1:23" s="17" customFormat="1" ht="39" customHeight="1" x14ac:dyDescent="0.2">
      <c r="A161" s="91"/>
      <c r="B161" s="92"/>
      <c r="C161" s="79" t="s">
        <v>166</v>
      </c>
      <c r="D161" s="67">
        <v>2022</v>
      </c>
      <c r="E161" s="18"/>
      <c r="F161" s="55" t="s">
        <v>13</v>
      </c>
      <c r="G161" s="20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2500</v>
      </c>
      <c r="N161" s="15">
        <f t="shared" si="10"/>
        <v>2500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f t="shared" si="11"/>
        <v>2500</v>
      </c>
      <c r="V161" s="16">
        <f t="shared" si="9"/>
        <v>0</v>
      </c>
      <c r="W161" s="16">
        <f>N161+O161-'додаток сесія_2024_2028_161 (2'!O161</f>
        <v>0</v>
      </c>
    </row>
    <row r="162" spans="1:23" s="17" customFormat="1" ht="49.5" customHeight="1" x14ac:dyDescent="0.2">
      <c r="A162" s="91"/>
      <c r="B162" s="92"/>
      <c r="C162" s="79" t="s">
        <v>167</v>
      </c>
      <c r="D162" s="38" t="s">
        <v>73</v>
      </c>
      <c r="E162" s="18"/>
      <c r="F162" s="55" t="s">
        <v>13</v>
      </c>
      <c r="G162" s="20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6400</v>
      </c>
      <c r="N162" s="15">
        <f t="shared" si="10"/>
        <v>6400</v>
      </c>
      <c r="O162" s="15">
        <v>0</v>
      </c>
      <c r="P162" s="15">
        <v>0</v>
      </c>
      <c r="Q162" s="15">
        <v>0</v>
      </c>
      <c r="R162" s="15">
        <v>0</v>
      </c>
      <c r="S162" s="15">
        <v>18000</v>
      </c>
      <c r="T162" s="15">
        <v>19000</v>
      </c>
      <c r="U162" s="15">
        <f t="shared" si="11"/>
        <v>43400</v>
      </c>
      <c r="V162" s="16">
        <f t="shared" si="9"/>
        <v>0</v>
      </c>
      <c r="W162" s="16">
        <f>N162+O162-'додаток сесія_2024_2028_161 (2'!O162</f>
        <v>0</v>
      </c>
    </row>
    <row r="163" spans="1:23" s="17" customFormat="1" ht="49.5" customHeight="1" x14ac:dyDescent="0.2">
      <c r="A163" s="91"/>
      <c r="B163" s="92"/>
      <c r="C163" s="79" t="s">
        <v>168</v>
      </c>
      <c r="D163" s="95" t="s">
        <v>71</v>
      </c>
      <c r="E163" s="473"/>
      <c r="F163" s="55" t="s">
        <v>13</v>
      </c>
      <c r="G163" s="20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2600</v>
      </c>
      <c r="N163" s="15">
        <f t="shared" si="10"/>
        <v>2600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f t="shared" si="11"/>
        <v>2600</v>
      </c>
      <c r="V163" s="16">
        <f t="shared" si="9"/>
        <v>0</v>
      </c>
      <c r="W163" s="16">
        <f>N163+O163-'додаток сесія_2024_2028_161 (2'!O163</f>
        <v>0</v>
      </c>
    </row>
    <row r="164" spans="1:23" s="17" customFormat="1" ht="47.25" customHeight="1" x14ac:dyDescent="0.2">
      <c r="A164" s="91"/>
      <c r="B164" s="92"/>
      <c r="C164" s="79" t="s">
        <v>169</v>
      </c>
      <c r="D164" s="95" t="s">
        <v>71</v>
      </c>
      <c r="E164" s="473"/>
      <c r="F164" s="55" t="s">
        <v>13</v>
      </c>
      <c r="G164" s="20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1500</v>
      </c>
      <c r="N164" s="15">
        <f t="shared" si="10"/>
        <v>1500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f t="shared" si="11"/>
        <v>1500</v>
      </c>
      <c r="V164" s="16">
        <f t="shared" si="9"/>
        <v>0</v>
      </c>
      <c r="W164" s="16">
        <f>N164+O164-'додаток сесія_2024_2028_161 (2'!O164</f>
        <v>0</v>
      </c>
    </row>
    <row r="165" spans="1:23" s="17" customFormat="1" ht="48" customHeight="1" x14ac:dyDescent="0.2">
      <c r="A165" s="91"/>
      <c r="B165" s="92"/>
      <c r="C165" s="79" t="s">
        <v>170</v>
      </c>
      <c r="D165" s="95">
        <v>2022</v>
      </c>
      <c r="E165" s="473"/>
      <c r="F165" s="55" t="s">
        <v>13</v>
      </c>
      <c r="G165" s="20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700</v>
      </c>
      <c r="N165" s="15">
        <f t="shared" si="10"/>
        <v>700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f t="shared" si="11"/>
        <v>700</v>
      </c>
      <c r="V165" s="16">
        <f t="shared" si="9"/>
        <v>0</v>
      </c>
      <c r="W165" s="16">
        <f>N165+O165-'додаток сесія_2024_2028_161 (2'!O165</f>
        <v>0</v>
      </c>
    </row>
    <row r="166" spans="1:23" s="17" customFormat="1" ht="42.75" customHeight="1" x14ac:dyDescent="0.2">
      <c r="A166" s="91"/>
      <c r="B166" s="92"/>
      <c r="C166" s="79" t="s">
        <v>171</v>
      </c>
      <c r="D166" s="96">
        <v>2023</v>
      </c>
      <c r="E166" s="480"/>
      <c r="F166" s="96" t="s">
        <v>13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15">
        <v>0</v>
      </c>
      <c r="M166" s="15">
        <v>0</v>
      </c>
      <c r="N166" s="15">
        <f t="shared" si="10"/>
        <v>0</v>
      </c>
      <c r="O166" s="15">
        <v>400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f t="shared" si="11"/>
        <v>400</v>
      </c>
      <c r="V166" s="16">
        <f t="shared" si="9"/>
        <v>0</v>
      </c>
      <c r="W166" s="16">
        <f>N166+O166-'додаток сесія_2024_2028_161 (2'!O166</f>
        <v>0</v>
      </c>
    </row>
    <row r="167" spans="1:23" s="17" customFormat="1" ht="42" customHeight="1" x14ac:dyDescent="0.2">
      <c r="A167" s="91"/>
      <c r="B167" s="92"/>
      <c r="C167" s="83" t="s">
        <v>172</v>
      </c>
      <c r="D167" s="96" t="s">
        <v>86</v>
      </c>
      <c r="E167" s="480"/>
      <c r="F167" s="96" t="s">
        <v>13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15">
        <v>0</v>
      </c>
      <c r="M167" s="15">
        <v>0</v>
      </c>
      <c r="N167" s="15">
        <f t="shared" si="10"/>
        <v>0</v>
      </c>
      <c r="O167" s="15">
        <v>9800</v>
      </c>
      <c r="P167" s="15">
        <v>0</v>
      </c>
      <c r="Q167" s="15">
        <v>0</v>
      </c>
      <c r="R167" s="15">
        <v>0</v>
      </c>
      <c r="S167" s="15">
        <v>0</v>
      </c>
      <c r="T167" s="15">
        <v>13760</v>
      </c>
      <c r="U167" s="15">
        <f t="shared" si="11"/>
        <v>23560</v>
      </c>
      <c r="V167" s="16">
        <f t="shared" si="9"/>
        <v>0</v>
      </c>
      <c r="W167" s="16">
        <f>N167+O167-'додаток сесія_2024_2028_161 (2'!O167</f>
        <v>0</v>
      </c>
    </row>
    <row r="168" spans="1:23" s="17" customFormat="1" ht="45.75" customHeight="1" x14ac:dyDescent="0.2">
      <c r="A168" s="91"/>
      <c r="B168" s="92"/>
      <c r="C168" s="85" t="s">
        <v>173</v>
      </c>
      <c r="D168" s="66" t="s">
        <v>86</v>
      </c>
      <c r="E168" s="480"/>
      <c r="F168" s="96" t="s">
        <v>13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15">
        <v>0</v>
      </c>
      <c r="M168" s="15">
        <v>0</v>
      </c>
      <c r="N168" s="15">
        <f t="shared" si="10"/>
        <v>0</v>
      </c>
      <c r="O168" s="15">
        <v>4100</v>
      </c>
      <c r="P168" s="15">
        <v>0</v>
      </c>
      <c r="Q168" s="15">
        <v>0</v>
      </c>
      <c r="R168" s="15">
        <v>0</v>
      </c>
      <c r="S168" s="15">
        <v>0</v>
      </c>
      <c r="T168" s="15">
        <v>5757</v>
      </c>
      <c r="U168" s="15">
        <f t="shared" si="11"/>
        <v>9857</v>
      </c>
      <c r="V168" s="16">
        <f t="shared" si="9"/>
        <v>0</v>
      </c>
      <c r="W168" s="16">
        <f>N168+O168-'додаток сесія_2024_2028_161 (2'!O168</f>
        <v>0</v>
      </c>
    </row>
    <row r="169" spans="1:23" s="17" customFormat="1" ht="46.5" customHeight="1" x14ac:dyDescent="0.2">
      <c r="A169" s="91"/>
      <c r="B169" s="92"/>
      <c r="C169" s="79" t="s">
        <v>174</v>
      </c>
      <c r="D169" s="99">
        <v>2023</v>
      </c>
      <c r="E169" s="480"/>
      <c r="F169" s="96" t="s">
        <v>13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15">
        <v>0</v>
      </c>
      <c r="M169" s="15">
        <v>0</v>
      </c>
      <c r="N169" s="15">
        <f t="shared" si="10"/>
        <v>0</v>
      </c>
      <c r="O169" s="15">
        <v>720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f t="shared" si="11"/>
        <v>720</v>
      </c>
      <c r="V169" s="16">
        <f t="shared" si="9"/>
        <v>0</v>
      </c>
      <c r="W169" s="16">
        <f>N169+O169-'додаток сесія_2024_2028_161 (2'!O169</f>
        <v>0</v>
      </c>
    </row>
    <row r="170" spans="1:23" s="17" customFormat="1" ht="45.75" customHeight="1" x14ac:dyDescent="0.2">
      <c r="A170" s="94"/>
      <c r="B170" s="92"/>
      <c r="C170" s="79" t="s">
        <v>411</v>
      </c>
      <c r="D170" s="100" t="s">
        <v>88</v>
      </c>
      <c r="E170" s="481"/>
      <c r="F170" s="337" t="s">
        <v>13</v>
      </c>
      <c r="G170" s="190">
        <v>0</v>
      </c>
      <c r="H170" s="190">
        <v>0</v>
      </c>
      <c r="I170" s="190">
        <v>0</v>
      </c>
      <c r="J170" s="190">
        <v>0</v>
      </c>
      <c r="K170" s="190">
        <v>0</v>
      </c>
      <c r="L170" s="189">
        <v>0</v>
      </c>
      <c r="M170" s="189">
        <v>0</v>
      </c>
      <c r="N170" s="15">
        <f t="shared" si="10"/>
        <v>0</v>
      </c>
      <c r="O170" s="189">
        <v>0</v>
      </c>
      <c r="P170" s="15">
        <v>273</v>
      </c>
      <c r="Q170" s="190">
        <v>0</v>
      </c>
      <c r="R170" s="190">
        <v>0</v>
      </c>
      <c r="S170" s="190">
        <v>0</v>
      </c>
      <c r="T170" s="189">
        <f>700-700</f>
        <v>0</v>
      </c>
      <c r="U170" s="15">
        <f t="shared" si="11"/>
        <v>273</v>
      </c>
      <c r="V170" s="16">
        <f t="shared" si="9"/>
        <v>0</v>
      </c>
      <c r="W170" s="16">
        <f>N170+O170-'додаток сесія_2024_2028_161 (2'!O170</f>
        <v>0</v>
      </c>
    </row>
    <row r="171" spans="1:23" s="17" customFormat="1" ht="45" customHeight="1" x14ac:dyDescent="0.2">
      <c r="A171" s="94"/>
      <c r="B171" s="92"/>
      <c r="C171" s="79" t="s">
        <v>176</v>
      </c>
      <c r="D171" s="100" t="s">
        <v>88</v>
      </c>
      <c r="E171" s="482"/>
      <c r="F171" s="337" t="s">
        <v>13</v>
      </c>
      <c r="G171" s="190">
        <v>0</v>
      </c>
      <c r="H171" s="190">
        <v>0</v>
      </c>
      <c r="I171" s="190">
        <v>0</v>
      </c>
      <c r="J171" s="190">
        <v>0</v>
      </c>
      <c r="K171" s="190">
        <v>0</v>
      </c>
      <c r="L171" s="189">
        <v>0</v>
      </c>
      <c r="M171" s="189">
        <v>0</v>
      </c>
      <c r="N171" s="15">
        <f t="shared" si="10"/>
        <v>0</v>
      </c>
      <c r="O171" s="189">
        <v>0</v>
      </c>
      <c r="P171" s="15">
        <v>3550</v>
      </c>
      <c r="Q171" s="189">
        <v>0</v>
      </c>
      <c r="R171" s="189">
        <v>0</v>
      </c>
      <c r="S171" s="15">
        <v>4250</v>
      </c>
      <c r="T171" s="189">
        <v>0</v>
      </c>
      <c r="U171" s="15">
        <f t="shared" si="11"/>
        <v>7800</v>
      </c>
      <c r="V171" s="16">
        <f t="shared" si="9"/>
        <v>0</v>
      </c>
      <c r="W171" s="16">
        <f>N171+O171-'додаток сесія_2024_2028_161 (2'!O171</f>
        <v>0</v>
      </c>
    </row>
    <row r="172" spans="1:23" s="17" customFormat="1" ht="48" customHeight="1" x14ac:dyDescent="0.2">
      <c r="A172" s="94"/>
      <c r="B172" s="92"/>
      <c r="C172" s="79" t="s">
        <v>404</v>
      </c>
      <c r="D172" s="100" t="s">
        <v>88</v>
      </c>
      <c r="E172" s="482"/>
      <c r="F172" s="337" t="s">
        <v>13</v>
      </c>
      <c r="G172" s="190">
        <v>0</v>
      </c>
      <c r="H172" s="190">
        <v>0</v>
      </c>
      <c r="I172" s="190">
        <v>0</v>
      </c>
      <c r="J172" s="190">
        <v>0</v>
      </c>
      <c r="K172" s="190">
        <v>0</v>
      </c>
      <c r="L172" s="189">
        <v>0</v>
      </c>
      <c r="M172" s="189">
        <v>0</v>
      </c>
      <c r="N172" s="15">
        <f t="shared" si="10"/>
        <v>0</v>
      </c>
      <c r="O172" s="189">
        <v>0</v>
      </c>
      <c r="P172" s="15">
        <v>1150</v>
      </c>
      <c r="Q172" s="190">
        <v>0</v>
      </c>
      <c r="R172" s="190">
        <v>0</v>
      </c>
      <c r="S172" s="190">
        <v>0</v>
      </c>
      <c r="T172" s="189">
        <f>700-700</f>
        <v>0</v>
      </c>
      <c r="U172" s="15">
        <f t="shared" si="11"/>
        <v>1150</v>
      </c>
      <c r="V172" s="16">
        <f t="shared" si="9"/>
        <v>0</v>
      </c>
      <c r="W172" s="16">
        <f>N172+O172-'додаток сесія_2024_2028_161 (2'!O172</f>
        <v>0</v>
      </c>
    </row>
    <row r="173" spans="1:23" s="17" customFormat="1" ht="43.5" customHeight="1" x14ac:dyDescent="0.2">
      <c r="A173" s="94"/>
      <c r="B173" s="92"/>
      <c r="C173" s="79" t="s">
        <v>405</v>
      </c>
      <c r="D173" s="100" t="s">
        <v>88</v>
      </c>
      <c r="E173" s="482"/>
      <c r="F173" s="337" t="s">
        <v>13</v>
      </c>
      <c r="G173" s="190">
        <v>0</v>
      </c>
      <c r="H173" s="190">
        <v>0</v>
      </c>
      <c r="I173" s="190">
        <v>0</v>
      </c>
      <c r="J173" s="190">
        <v>0</v>
      </c>
      <c r="K173" s="190">
        <v>0</v>
      </c>
      <c r="L173" s="189">
        <v>0</v>
      </c>
      <c r="M173" s="189">
        <v>0</v>
      </c>
      <c r="N173" s="15">
        <f t="shared" si="10"/>
        <v>0</v>
      </c>
      <c r="O173" s="189">
        <v>0</v>
      </c>
      <c r="P173" s="15">
        <v>420</v>
      </c>
      <c r="Q173" s="190">
        <v>0</v>
      </c>
      <c r="R173" s="190">
        <v>0</v>
      </c>
      <c r="S173" s="190">
        <v>0</v>
      </c>
      <c r="T173" s="189">
        <f>700-700</f>
        <v>0</v>
      </c>
      <c r="U173" s="15">
        <f t="shared" si="11"/>
        <v>420</v>
      </c>
      <c r="V173" s="16">
        <f t="shared" si="9"/>
        <v>0</v>
      </c>
      <c r="W173" s="16">
        <f>N173+O173-'додаток сесія_2024_2028_161 (2'!O173</f>
        <v>0</v>
      </c>
    </row>
    <row r="174" spans="1:23" s="17" customFormat="1" ht="43.5" customHeight="1" x14ac:dyDescent="0.2">
      <c r="A174" s="94"/>
      <c r="B174" s="92"/>
      <c r="C174" s="79" t="s">
        <v>406</v>
      </c>
      <c r="D174" s="100" t="s">
        <v>88</v>
      </c>
      <c r="E174" s="482"/>
      <c r="F174" s="337" t="s">
        <v>13</v>
      </c>
      <c r="G174" s="190">
        <v>0</v>
      </c>
      <c r="H174" s="190">
        <v>0</v>
      </c>
      <c r="I174" s="190">
        <v>0</v>
      </c>
      <c r="J174" s="190">
        <v>0</v>
      </c>
      <c r="K174" s="190">
        <v>0</v>
      </c>
      <c r="L174" s="189">
        <v>0</v>
      </c>
      <c r="M174" s="189">
        <v>0</v>
      </c>
      <c r="N174" s="15">
        <f t="shared" si="10"/>
        <v>0</v>
      </c>
      <c r="O174" s="189">
        <v>0</v>
      </c>
      <c r="P174" s="15">
        <v>5700</v>
      </c>
      <c r="Q174" s="190">
        <v>0</v>
      </c>
      <c r="R174" s="190">
        <v>0</v>
      </c>
      <c r="S174" s="190">
        <v>0</v>
      </c>
      <c r="T174" s="189">
        <f>700-700</f>
        <v>0</v>
      </c>
      <c r="U174" s="15">
        <f t="shared" si="11"/>
        <v>5700</v>
      </c>
      <c r="V174" s="16">
        <f t="shared" si="9"/>
        <v>0</v>
      </c>
      <c r="W174" s="16">
        <f>N174+O174-'додаток сесія_2024_2028_161 (2'!O174</f>
        <v>0</v>
      </c>
    </row>
    <row r="175" spans="1:23" s="17" customFormat="1" ht="47.25" customHeight="1" x14ac:dyDescent="0.2">
      <c r="A175" s="94"/>
      <c r="B175" s="92"/>
      <c r="C175" s="79" t="s">
        <v>407</v>
      </c>
      <c r="D175" s="100" t="s">
        <v>88</v>
      </c>
      <c r="E175" s="482"/>
      <c r="F175" s="337" t="s">
        <v>13</v>
      </c>
      <c r="G175" s="190">
        <v>0</v>
      </c>
      <c r="H175" s="190">
        <v>0</v>
      </c>
      <c r="I175" s="190">
        <v>0</v>
      </c>
      <c r="J175" s="190">
        <v>0</v>
      </c>
      <c r="K175" s="190">
        <v>0</v>
      </c>
      <c r="L175" s="189">
        <v>0</v>
      </c>
      <c r="M175" s="189">
        <v>0</v>
      </c>
      <c r="N175" s="15">
        <f t="shared" si="10"/>
        <v>0</v>
      </c>
      <c r="O175" s="190">
        <v>0</v>
      </c>
      <c r="P175" s="190">
        <v>0</v>
      </c>
      <c r="Q175" s="190">
        <v>0</v>
      </c>
      <c r="R175" s="189">
        <v>0</v>
      </c>
      <c r="S175" s="189">
        <v>0</v>
      </c>
      <c r="T175" s="15">
        <v>8500</v>
      </c>
      <c r="U175" s="15">
        <f t="shared" si="11"/>
        <v>8500</v>
      </c>
      <c r="V175" s="16">
        <f t="shared" si="9"/>
        <v>0</v>
      </c>
      <c r="W175" s="16">
        <f>N175+O175-'додаток сесія_2024_2028_161 (2'!O175</f>
        <v>0</v>
      </c>
    </row>
    <row r="176" spans="1:23" s="17" customFormat="1" ht="45.75" customHeight="1" x14ac:dyDescent="0.2">
      <c r="A176" s="94"/>
      <c r="B176" s="92"/>
      <c r="C176" s="79" t="s">
        <v>408</v>
      </c>
      <c r="D176" s="100" t="s">
        <v>88</v>
      </c>
      <c r="E176" s="482"/>
      <c r="F176" s="337" t="s">
        <v>13</v>
      </c>
      <c r="G176" s="190">
        <v>0</v>
      </c>
      <c r="H176" s="190">
        <v>0</v>
      </c>
      <c r="I176" s="190">
        <v>0</v>
      </c>
      <c r="J176" s="190">
        <v>0</v>
      </c>
      <c r="K176" s="190">
        <v>0</v>
      </c>
      <c r="L176" s="189">
        <v>0</v>
      </c>
      <c r="M176" s="189">
        <v>0</v>
      </c>
      <c r="N176" s="15">
        <f t="shared" si="10"/>
        <v>0</v>
      </c>
      <c r="O176" s="190">
        <v>0</v>
      </c>
      <c r="P176" s="15">
        <v>12500</v>
      </c>
      <c r="Q176" s="190">
        <v>0</v>
      </c>
      <c r="R176" s="190">
        <v>0</v>
      </c>
      <c r="S176" s="190">
        <v>0</v>
      </c>
      <c r="T176" s="189">
        <f>700-700</f>
        <v>0</v>
      </c>
      <c r="U176" s="15">
        <f t="shared" si="11"/>
        <v>12500</v>
      </c>
      <c r="V176" s="16">
        <f t="shared" si="9"/>
        <v>0</v>
      </c>
      <c r="W176" s="16">
        <f>N176+O176-'додаток сесія_2024_2028_161 (2'!O176</f>
        <v>0</v>
      </c>
    </row>
    <row r="177" spans="1:23" s="17" customFormat="1" ht="41.25" customHeight="1" x14ac:dyDescent="0.2">
      <c r="A177" s="94"/>
      <c r="B177" s="92"/>
      <c r="C177" s="102" t="s">
        <v>409</v>
      </c>
      <c r="D177" s="103" t="s">
        <v>88</v>
      </c>
      <c r="E177" s="482"/>
      <c r="F177" s="337" t="s">
        <v>13</v>
      </c>
      <c r="G177" s="190">
        <v>0</v>
      </c>
      <c r="H177" s="190">
        <v>0</v>
      </c>
      <c r="I177" s="190">
        <v>0</v>
      </c>
      <c r="J177" s="190">
        <v>0</v>
      </c>
      <c r="K177" s="190">
        <v>0</v>
      </c>
      <c r="L177" s="189">
        <v>0</v>
      </c>
      <c r="M177" s="189">
        <v>0</v>
      </c>
      <c r="N177" s="15">
        <f t="shared" si="10"/>
        <v>0</v>
      </c>
      <c r="O177" s="190">
        <v>0</v>
      </c>
      <c r="P177" s="15">
        <v>5400</v>
      </c>
      <c r="Q177" s="190">
        <v>0</v>
      </c>
      <c r="R177" s="190">
        <v>0</v>
      </c>
      <c r="S177" s="190">
        <v>0</v>
      </c>
      <c r="T177" s="189">
        <f>700-700</f>
        <v>0</v>
      </c>
      <c r="U177" s="15">
        <f t="shared" si="11"/>
        <v>5400</v>
      </c>
      <c r="V177" s="16">
        <f t="shared" si="9"/>
        <v>0</v>
      </c>
      <c r="W177" s="16">
        <f>N177+O177-'додаток сесія_2024_2028_161 (2'!O177</f>
        <v>0</v>
      </c>
    </row>
    <row r="178" spans="1:23" s="17" customFormat="1" ht="46.5" customHeight="1" x14ac:dyDescent="0.2">
      <c r="A178" s="334"/>
      <c r="B178" s="335"/>
      <c r="C178" s="102" t="s">
        <v>410</v>
      </c>
      <c r="D178" s="103" t="s">
        <v>88</v>
      </c>
      <c r="E178" s="483"/>
      <c r="F178" s="337" t="s">
        <v>13</v>
      </c>
      <c r="G178" s="190">
        <v>0</v>
      </c>
      <c r="H178" s="190">
        <v>0</v>
      </c>
      <c r="I178" s="190">
        <v>0</v>
      </c>
      <c r="J178" s="190">
        <v>0</v>
      </c>
      <c r="K178" s="190">
        <v>0</v>
      </c>
      <c r="L178" s="189">
        <v>0</v>
      </c>
      <c r="M178" s="189">
        <v>0</v>
      </c>
      <c r="N178" s="15">
        <f t="shared" si="10"/>
        <v>0</v>
      </c>
      <c r="O178" s="190">
        <v>0</v>
      </c>
      <c r="P178" s="15">
        <v>2800</v>
      </c>
      <c r="Q178" s="190">
        <v>0</v>
      </c>
      <c r="R178" s="190">
        <v>0</v>
      </c>
      <c r="S178" s="190">
        <v>0</v>
      </c>
      <c r="T178" s="189">
        <f>700-700</f>
        <v>0</v>
      </c>
      <c r="U178" s="15">
        <f t="shared" si="11"/>
        <v>2800</v>
      </c>
      <c r="V178" s="16">
        <f t="shared" si="9"/>
        <v>0</v>
      </c>
      <c r="W178" s="16">
        <f>N178+O178-'додаток сесія_2024_2028_161 (2'!O178</f>
        <v>0</v>
      </c>
    </row>
    <row r="179" spans="1:23" s="17" customFormat="1" ht="40.5" customHeight="1" x14ac:dyDescent="0.2">
      <c r="A179" s="94"/>
      <c r="B179" s="92"/>
      <c r="C179" s="102" t="s">
        <v>431</v>
      </c>
      <c r="D179" s="103" t="s">
        <v>88</v>
      </c>
      <c r="E179" s="482"/>
      <c r="F179" s="337" t="s">
        <v>13</v>
      </c>
      <c r="G179" s="190">
        <v>0</v>
      </c>
      <c r="H179" s="190">
        <v>0</v>
      </c>
      <c r="I179" s="190">
        <v>0</v>
      </c>
      <c r="J179" s="190">
        <v>0</v>
      </c>
      <c r="K179" s="190">
        <v>0</v>
      </c>
      <c r="L179" s="189">
        <v>0</v>
      </c>
      <c r="M179" s="189">
        <v>0</v>
      </c>
      <c r="N179" s="15">
        <f t="shared" si="10"/>
        <v>0</v>
      </c>
      <c r="O179" s="190">
        <v>0</v>
      </c>
      <c r="P179" s="15">
        <v>650</v>
      </c>
      <c r="Q179" s="190">
        <v>0</v>
      </c>
      <c r="R179" s="15">
        <v>0</v>
      </c>
      <c r="S179" s="190">
        <v>0</v>
      </c>
      <c r="T179" s="15">
        <v>824</v>
      </c>
      <c r="U179" s="15">
        <f t="shared" si="11"/>
        <v>1474</v>
      </c>
      <c r="V179" s="16">
        <f t="shared" si="9"/>
        <v>0</v>
      </c>
      <c r="W179" s="16">
        <f>N179+O179-'додаток сесія_2024_2028_161 (2'!O179</f>
        <v>0</v>
      </c>
    </row>
    <row r="180" spans="1:23" s="17" customFormat="1" ht="42" customHeight="1" x14ac:dyDescent="0.2">
      <c r="A180" s="94"/>
      <c r="B180" s="92"/>
      <c r="C180" s="102" t="s">
        <v>185</v>
      </c>
      <c r="D180" s="103" t="s">
        <v>88</v>
      </c>
      <c r="E180" s="482"/>
      <c r="F180" s="337" t="s">
        <v>13</v>
      </c>
      <c r="G180" s="190">
        <v>0</v>
      </c>
      <c r="H180" s="190">
        <v>0</v>
      </c>
      <c r="I180" s="190">
        <v>0</v>
      </c>
      <c r="J180" s="190">
        <v>0</v>
      </c>
      <c r="K180" s="190">
        <v>0</v>
      </c>
      <c r="L180" s="189">
        <v>0</v>
      </c>
      <c r="M180" s="189">
        <v>0</v>
      </c>
      <c r="N180" s="15">
        <f t="shared" si="10"/>
        <v>0</v>
      </c>
      <c r="O180" s="190">
        <v>0</v>
      </c>
      <c r="P180" s="190">
        <v>0</v>
      </c>
      <c r="Q180" s="190">
        <v>0</v>
      </c>
      <c r="R180" s="189">
        <v>0</v>
      </c>
      <c r="S180" s="15">
        <v>667</v>
      </c>
      <c r="T180" s="190">
        <v>0</v>
      </c>
      <c r="U180" s="15">
        <f t="shared" si="11"/>
        <v>667</v>
      </c>
      <c r="V180" s="16">
        <f t="shared" si="9"/>
        <v>0</v>
      </c>
      <c r="W180" s="16">
        <f>N180+O180-'додаток сесія_2024_2028_161 (2'!O180</f>
        <v>0</v>
      </c>
    </row>
    <row r="181" spans="1:23" s="17" customFormat="1" ht="45.75" customHeight="1" x14ac:dyDescent="0.2">
      <c r="A181" s="94"/>
      <c r="B181" s="92"/>
      <c r="C181" s="102" t="s">
        <v>186</v>
      </c>
      <c r="D181" s="103" t="s">
        <v>88</v>
      </c>
      <c r="E181" s="482"/>
      <c r="F181" s="337" t="s">
        <v>13</v>
      </c>
      <c r="G181" s="190">
        <v>0</v>
      </c>
      <c r="H181" s="190">
        <v>0</v>
      </c>
      <c r="I181" s="190">
        <v>0</v>
      </c>
      <c r="J181" s="190">
        <v>0</v>
      </c>
      <c r="K181" s="190">
        <v>0</v>
      </c>
      <c r="L181" s="189">
        <v>0</v>
      </c>
      <c r="M181" s="189">
        <v>0</v>
      </c>
      <c r="N181" s="15">
        <f t="shared" si="10"/>
        <v>0</v>
      </c>
      <c r="O181" s="190">
        <v>0</v>
      </c>
      <c r="P181" s="190">
        <v>0</v>
      </c>
      <c r="Q181" s="190">
        <v>0</v>
      </c>
      <c r="R181" s="189">
        <v>0</v>
      </c>
      <c r="S181" s="15">
        <v>120</v>
      </c>
      <c r="T181" s="190">
        <v>0</v>
      </c>
      <c r="U181" s="15">
        <f t="shared" si="11"/>
        <v>120</v>
      </c>
      <c r="V181" s="16">
        <f t="shared" si="9"/>
        <v>0</v>
      </c>
      <c r="W181" s="16">
        <f>N181+O181-'додаток сесія_2024_2028_161 (2'!O181</f>
        <v>0</v>
      </c>
    </row>
    <row r="182" spans="1:23" s="17" customFormat="1" ht="42.75" customHeight="1" x14ac:dyDescent="0.2">
      <c r="A182" s="94"/>
      <c r="B182" s="92"/>
      <c r="C182" s="83" t="s">
        <v>413</v>
      </c>
      <c r="D182" s="103" t="s">
        <v>88</v>
      </c>
      <c r="E182" s="482"/>
      <c r="F182" s="337" t="s">
        <v>13</v>
      </c>
      <c r="G182" s="190">
        <v>0</v>
      </c>
      <c r="H182" s="190">
        <v>0</v>
      </c>
      <c r="I182" s="190">
        <v>0</v>
      </c>
      <c r="J182" s="190">
        <v>0</v>
      </c>
      <c r="K182" s="190">
        <v>0</v>
      </c>
      <c r="L182" s="189">
        <v>0</v>
      </c>
      <c r="M182" s="189">
        <v>0</v>
      </c>
      <c r="N182" s="15">
        <f t="shared" si="10"/>
        <v>0</v>
      </c>
      <c r="O182" s="190">
        <v>0</v>
      </c>
      <c r="P182" s="190">
        <v>0</v>
      </c>
      <c r="Q182" s="189">
        <v>0</v>
      </c>
      <c r="R182" s="15">
        <v>160</v>
      </c>
      <c r="S182" s="190">
        <v>0</v>
      </c>
      <c r="T182" s="15">
        <v>179</v>
      </c>
      <c r="U182" s="15">
        <f t="shared" si="11"/>
        <v>339</v>
      </c>
      <c r="V182" s="16">
        <f t="shared" si="9"/>
        <v>0</v>
      </c>
      <c r="W182" s="16">
        <f>N182+O182-'додаток сесія_2024_2028_161 (2'!O182</f>
        <v>0</v>
      </c>
    </row>
    <row r="183" spans="1:23" s="17" customFormat="1" ht="44.25" customHeight="1" x14ac:dyDescent="0.2">
      <c r="A183" s="94"/>
      <c r="B183" s="92"/>
      <c r="C183" s="85" t="s">
        <v>188</v>
      </c>
      <c r="D183" s="104" t="s">
        <v>88</v>
      </c>
      <c r="E183" s="482"/>
      <c r="F183" s="337" t="s">
        <v>13</v>
      </c>
      <c r="G183" s="190">
        <v>0</v>
      </c>
      <c r="H183" s="190">
        <v>0</v>
      </c>
      <c r="I183" s="190">
        <v>0</v>
      </c>
      <c r="J183" s="190">
        <v>0</v>
      </c>
      <c r="K183" s="190">
        <v>0</v>
      </c>
      <c r="L183" s="189">
        <v>0</v>
      </c>
      <c r="M183" s="189">
        <v>0</v>
      </c>
      <c r="N183" s="15">
        <f t="shared" si="10"/>
        <v>0</v>
      </c>
      <c r="O183" s="190">
        <v>0</v>
      </c>
      <c r="P183" s="190">
        <v>0</v>
      </c>
      <c r="Q183" s="189">
        <v>0</v>
      </c>
      <c r="R183" s="15">
        <v>120</v>
      </c>
      <c r="S183" s="190">
        <v>0</v>
      </c>
      <c r="T183" s="189">
        <v>0</v>
      </c>
      <c r="U183" s="15">
        <f t="shared" si="11"/>
        <v>120</v>
      </c>
      <c r="V183" s="16">
        <f t="shared" si="9"/>
        <v>0</v>
      </c>
      <c r="W183" s="16">
        <f>N183+O183-'додаток сесія_2024_2028_161 (2'!O183</f>
        <v>0</v>
      </c>
    </row>
    <row r="184" spans="1:23" s="17" customFormat="1" ht="45" customHeight="1" x14ac:dyDescent="0.2">
      <c r="A184" s="94"/>
      <c r="B184" s="92"/>
      <c r="C184" s="102" t="s">
        <v>189</v>
      </c>
      <c r="D184" s="103" t="s">
        <v>88</v>
      </c>
      <c r="E184" s="482"/>
      <c r="F184" s="337" t="s">
        <v>13</v>
      </c>
      <c r="G184" s="190">
        <v>0</v>
      </c>
      <c r="H184" s="190">
        <v>0</v>
      </c>
      <c r="I184" s="190">
        <v>0</v>
      </c>
      <c r="J184" s="190">
        <v>0</v>
      </c>
      <c r="K184" s="190">
        <v>0</v>
      </c>
      <c r="L184" s="189">
        <v>0</v>
      </c>
      <c r="M184" s="189">
        <v>0</v>
      </c>
      <c r="N184" s="15">
        <f t="shared" si="10"/>
        <v>0</v>
      </c>
      <c r="O184" s="190">
        <v>0</v>
      </c>
      <c r="P184" s="190">
        <v>0</v>
      </c>
      <c r="Q184" s="190">
        <v>0</v>
      </c>
      <c r="R184" s="189">
        <v>0</v>
      </c>
      <c r="S184" s="15">
        <v>154</v>
      </c>
      <c r="T184" s="190">
        <v>0</v>
      </c>
      <c r="U184" s="15">
        <f t="shared" si="11"/>
        <v>154</v>
      </c>
      <c r="V184" s="16">
        <f t="shared" si="9"/>
        <v>0</v>
      </c>
      <c r="W184" s="16">
        <f>N184+O184-'додаток сесія_2024_2028_161 (2'!O184</f>
        <v>0</v>
      </c>
    </row>
    <row r="185" spans="1:23" s="17" customFormat="1" ht="42.75" customHeight="1" x14ac:dyDescent="0.2">
      <c r="A185" s="94"/>
      <c r="B185" s="92"/>
      <c r="C185" s="102" t="s">
        <v>412</v>
      </c>
      <c r="D185" s="103" t="s">
        <v>88</v>
      </c>
      <c r="E185" s="482"/>
      <c r="F185" s="337" t="s">
        <v>13</v>
      </c>
      <c r="G185" s="190">
        <v>0</v>
      </c>
      <c r="H185" s="190">
        <v>0</v>
      </c>
      <c r="I185" s="190">
        <v>0</v>
      </c>
      <c r="J185" s="190">
        <v>0</v>
      </c>
      <c r="K185" s="190">
        <v>0</v>
      </c>
      <c r="L185" s="189">
        <v>0</v>
      </c>
      <c r="M185" s="189">
        <v>0</v>
      </c>
      <c r="N185" s="15">
        <f t="shared" si="10"/>
        <v>0</v>
      </c>
      <c r="O185" s="190">
        <v>0</v>
      </c>
      <c r="P185" s="190">
        <v>0</v>
      </c>
      <c r="Q185" s="190">
        <v>0</v>
      </c>
      <c r="R185" s="189">
        <v>0</v>
      </c>
      <c r="S185" s="15">
        <v>1343</v>
      </c>
      <c r="T185" s="190">
        <v>0</v>
      </c>
      <c r="U185" s="15">
        <f t="shared" si="11"/>
        <v>1343</v>
      </c>
      <c r="V185" s="16">
        <f t="shared" si="9"/>
        <v>0</v>
      </c>
      <c r="W185" s="16">
        <f>N185+O185-'додаток сесія_2024_2028_161 (2'!O185</f>
        <v>0</v>
      </c>
    </row>
    <row r="186" spans="1:23" s="17" customFormat="1" ht="39" customHeight="1" x14ac:dyDescent="0.2">
      <c r="A186" s="94"/>
      <c r="B186" s="92"/>
      <c r="C186" s="102" t="s">
        <v>417</v>
      </c>
      <c r="D186" s="103" t="s">
        <v>88</v>
      </c>
      <c r="E186" s="482"/>
      <c r="F186" s="337" t="s">
        <v>13</v>
      </c>
      <c r="G186" s="190">
        <v>0</v>
      </c>
      <c r="H186" s="190">
        <v>0</v>
      </c>
      <c r="I186" s="190">
        <v>0</v>
      </c>
      <c r="J186" s="190">
        <v>0</v>
      </c>
      <c r="K186" s="190">
        <v>0</v>
      </c>
      <c r="L186" s="189">
        <v>0</v>
      </c>
      <c r="M186" s="189">
        <v>0</v>
      </c>
      <c r="N186" s="15">
        <f t="shared" si="10"/>
        <v>0</v>
      </c>
      <c r="O186" s="190">
        <v>0</v>
      </c>
      <c r="P186" s="190">
        <v>0</v>
      </c>
      <c r="Q186" s="190">
        <v>0</v>
      </c>
      <c r="R186" s="189">
        <v>0</v>
      </c>
      <c r="S186" s="15">
        <v>150</v>
      </c>
      <c r="T186" s="190">
        <v>0</v>
      </c>
      <c r="U186" s="15">
        <f t="shared" si="11"/>
        <v>150</v>
      </c>
      <c r="V186" s="16">
        <f t="shared" si="9"/>
        <v>0</v>
      </c>
      <c r="W186" s="16">
        <f>N186+O186-'додаток сесія_2024_2028_161 (2'!O186</f>
        <v>0</v>
      </c>
    </row>
    <row r="187" spans="1:23" s="17" customFormat="1" ht="43.5" customHeight="1" x14ac:dyDescent="0.2">
      <c r="A187" s="94"/>
      <c r="B187" s="92"/>
      <c r="C187" s="102" t="s">
        <v>418</v>
      </c>
      <c r="D187" s="103" t="s">
        <v>88</v>
      </c>
      <c r="E187" s="482"/>
      <c r="F187" s="337" t="s">
        <v>13</v>
      </c>
      <c r="G187" s="190">
        <v>0</v>
      </c>
      <c r="H187" s="190">
        <v>0</v>
      </c>
      <c r="I187" s="190">
        <v>0</v>
      </c>
      <c r="J187" s="190">
        <v>0</v>
      </c>
      <c r="K187" s="190">
        <v>0</v>
      </c>
      <c r="L187" s="189">
        <v>0</v>
      </c>
      <c r="M187" s="189">
        <v>0</v>
      </c>
      <c r="N187" s="15">
        <f t="shared" si="10"/>
        <v>0</v>
      </c>
      <c r="O187" s="190">
        <v>0</v>
      </c>
      <c r="P187" s="190">
        <v>0</v>
      </c>
      <c r="Q187" s="190">
        <v>0</v>
      </c>
      <c r="R187" s="189">
        <v>0</v>
      </c>
      <c r="S187" s="190">
        <v>0</v>
      </c>
      <c r="T187" s="15">
        <v>190</v>
      </c>
      <c r="U187" s="15">
        <f t="shared" si="11"/>
        <v>190</v>
      </c>
      <c r="V187" s="16">
        <f t="shared" si="9"/>
        <v>0</v>
      </c>
      <c r="W187" s="16">
        <f>N187+O187-'додаток сесія_2024_2028_161 (2'!O187</f>
        <v>0</v>
      </c>
    </row>
    <row r="188" spans="1:23" s="17" customFormat="1" ht="44.25" customHeight="1" x14ac:dyDescent="0.2">
      <c r="A188" s="94"/>
      <c r="B188" s="92"/>
      <c r="C188" s="105" t="s">
        <v>419</v>
      </c>
      <c r="D188" s="106" t="s">
        <v>88</v>
      </c>
      <c r="E188" s="482"/>
      <c r="F188" s="337" t="s">
        <v>13</v>
      </c>
      <c r="G188" s="190">
        <v>0</v>
      </c>
      <c r="H188" s="190">
        <v>0</v>
      </c>
      <c r="I188" s="190">
        <v>0</v>
      </c>
      <c r="J188" s="190">
        <v>0</v>
      </c>
      <c r="K188" s="190">
        <v>0</v>
      </c>
      <c r="L188" s="189">
        <v>0</v>
      </c>
      <c r="M188" s="189">
        <v>0</v>
      </c>
      <c r="N188" s="15">
        <f t="shared" si="10"/>
        <v>0</v>
      </c>
      <c r="O188" s="190">
        <v>0</v>
      </c>
      <c r="P188" s="190">
        <v>0</v>
      </c>
      <c r="Q188" s="190">
        <v>0</v>
      </c>
      <c r="R188" s="189">
        <v>0</v>
      </c>
      <c r="S188" s="15">
        <v>134</v>
      </c>
      <c r="T188" s="190">
        <v>0</v>
      </c>
      <c r="U188" s="15">
        <f t="shared" si="11"/>
        <v>134</v>
      </c>
      <c r="V188" s="16">
        <f t="shared" si="9"/>
        <v>0</v>
      </c>
      <c r="W188" s="16">
        <f>N188+O188-'додаток сесія_2024_2028_161 (2'!O188</f>
        <v>0</v>
      </c>
    </row>
    <row r="189" spans="1:23" s="17" customFormat="1" ht="41.25" customHeight="1" x14ac:dyDescent="0.2">
      <c r="A189" s="94"/>
      <c r="B189" s="92"/>
      <c r="C189" s="105" t="s">
        <v>420</v>
      </c>
      <c r="D189" s="106" t="s">
        <v>88</v>
      </c>
      <c r="E189" s="482"/>
      <c r="F189" s="337" t="s">
        <v>13</v>
      </c>
      <c r="G189" s="190">
        <v>0</v>
      </c>
      <c r="H189" s="190">
        <v>0</v>
      </c>
      <c r="I189" s="190">
        <v>0</v>
      </c>
      <c r="J189" s="190">
        <v>0</v>
      </c>
      <c r="K189" s="190">
        <v>0</v>
      </c>
      <c r="L189" s="189">
        <v>0</v>
      </c>
      <c r="M189" s="189">
        <v>0</v>
      </c>
      <c r="N189" s="15">
        <f t="shared" si="10"/>
        <v>0</v>
      </c>
      <c r="O189" s="190">
        <v>0</v>
      </c>
      <c r="P189" s="190">
        <v>0</v>
      </c>
      <c r="Q189" s="190">
        <v>0</v>
      </c>
      <c r="R189" s="189">
        <v>0</v>
      </c>
      <c r="S189" s="15">
        <v>196</v>
      </c>
      <c r="T189" s="190">
        <v>0</v>
      </c>
      <c r="U189" s="15">
        <f t="shared" si="11"/>
        <v>196</v>
      </c>
      <c r="V189" s="16">
        <f t="shared" si="9"/>
        <v>0</v>
      </c>
      <c r="W189" s="16">
        <f>N189+O189-'додаток сесія_2024_2028_161 (2'!O189</f>
        <v>0</v>
      </c>
    </row>
    <row r="190" spans="1:23" s="17" customFormat="1" ht="43.5" customHeight="1" x14ac:dyDescent="0.2">
      <c r="A190" s="94"/>
      <c r="B190" s="92"/>
      <c r="C190" s="105" t="s">
        <v>195</v>
      </c>
      <c r="D190" s="106" t="s">
        <v>88</v>
      </c>
      <c r="E190" s="482"/>
      <c r="F190" s="337" t="s">
        <v>13</v>
      </c>
      <c r="G190" s="190">
        <v>0</v>
      </c>
      <c r="H190" s="190">
        <v>0</v>
      </c>
      <c r="I190" s="190">
        <v>0</v>
      </c>
      <c r="J190" s="190">
        <v>0</v>
      </c>
      <c r="K190" s="190">
        <v>0</v>
      </c>
      <c r="L190" s="189">
        <v>0</v>
      </c>
      <c r="M190" s="189">
        <v>0</v>
      </c>
      <c r="N190" s="15">
        <f t="shared" si="10"/>
        <v>0</v>
      </c>
      <c r="O190" s="190">
        <v>0</v>
      </c>
      <c r="P190" s="190">
        <v>0</v>
      </c>
      <c r="Q190" s="190">
        <v>0</v>
      </c>
      <c r="R190" s="189">
        <v>0</v>
      </c>
      <c r="S190" s="15">
        <v>5600</v>
      </c>
      <c r="T190" s="190">
        <v>0</v>
      </c>
      <c r="U190" s="15">
        <f t="shared" si="11"/>
        <v>5600</v>
      </c>
      <c r="V190" s="16">
        <f t="shared" si="9"/>
        <v>0</v>
      </c>
      <c r="W190" s="16">
        <f>N190+O190-'додаток сесія_2024_2028_161 (2'!O190</f>
        <v>0</v>
      </c>
    </row>
    <row r="191" spans="1:23" s="17" customFormat="1" ht="46.5" customHeight="1" x14ac:dyDescent="0.2">
      <c r="A191" s="94"/>
      <c r="B191" s="92"/>
      <c r="C191" s="105" t="s">
        <v>415</v>
      </c>
      <c r="D191" s="106" t="s">
        <v>88</v>
      </c>
      <c r="E191" s="482"/>
      <c r="F191" s="337" t="s">
        <v>13</v>
      </c>
      <c r="G191" s="190">
        <v>0</v>
      </c>
      <c r="H191" s="190">
        <v>0</v>
      </c>
      <c r="I191" s="190">
        <v>0</v>
      </c>
      <c r="J191" s="190">
        <v>0</v>
      </c>
      <c r="K191" s="190">
        <v>0</v>
      </c>
      <c r="L191" s="189">
        <v>0</v>
      </c>
      <c r="M191" s="189">
        <v>0</v>
      </c>
      <c r="N191" s="15">
        <f t="shared" si="10"/>
        <v>0</v>
      </c>
      <c r="O191" s="190">
        <v>0</v>
      </c>
      <c r="P191" s="190">
        <v>0</v>
      </c>
      <c r="Q191" s="190">
        <v>0</v>
      </c>
      <c r="R191" s="189">
        <v>0</v>
      </c>
      <c r="S191" s="15">
        <v>3358</v>
      </c>
      <c r="T191" s="190">
        <v>0</v>
      </c>
      <c r="U191" s="15">
        <f t="shared" si="11"/>
        <v>3358</v>
      </c>
      <c r="V191" s="16">
        <f t="shared" si="9"/>
        <v>0</v>
      </c>
      <c r="W191" s="16">
        <f>N191+O191-'додаток сесія_2024_2028_161 (2'!O191</f>
        <v>0</v>
      </c>
    </row>
    <row r="192" spans="1:23" s="17" customFormat="1" ht="44.25" customHeight="1" x14ac:dyDescent="0.2">
      <c r="A192" s="94"/>
      <c r="B192" s="92"/>
      <c r="C192" s="105" t="s">
        <v>197</v>
      </c>
      <c r="D192" s="106" t="s">
        <v>88</v>
      </c>
      <c r="E192" s="482"/>
      <c r="F192" s="337" t="s">
        <v>13</v>
      </c>
      <c r="G192" s="190">
        <v>0</v>
      </c>
      <c r="H192" s="190">
        <v>0</v>
      </c>
      <c r="I192" s="190">
        <v>0</v>
      </c>
      <c r="J192" s="190">
        <v>0</v>
      </c>
      <c r="K192" s="190">
        <v>0</v>
      </c>
      <c r="L192" s="189">
        <v>0</v>
      </c>
      <c r="M192" s="189">
        <v>0</v>
      </c>
      <c r="N192" s="15">
        <f t="shared" si="10"/>
        <v>0</v>
      </c>
      <c r="O192" s="190">
        <v>0</v>
      </c>
      <c r="P192" s="190">
        <v>0</v>
      </c>
      <c r="Q192" s="190">
        <v>0</v>
      </c>
      <c r="R192" s="189">
        <v>0</v>
      </c>
      <c r="S192" s="189">
        <v>0</v>
      </c>
      <c r="T192" s="15">
        <v>300</v>
      </c>
      <c r="U192" s="15">
        <f t="shared" si="11"/>
        <v>300</v>
      </c>
      <c r="V192" s="16">
        <f t="shared" si="9"/>
        <v>0</v>
      </c>
      <c r="W192" s="16">
        <f>N192+O192-'додаток сесія_2024_2028_161 (2'!O192</f>
        <v>0</v>
      </c>
    </row>
    <row r="193" spans="1:23" s="17" customFormat="1" ht="71.25" customHeight="1" x14ac:dyDescent="0.2">
      <c r="A193" s="94"/>
      <c r="B193" s="92"/>
      <c r="C193" s="105" t="s">
        <v>416</v>
      </c>
      <c r="D193" s="106" t="s">
        <v>88</v>
      </c>
      <c r="E193" s="482"/>
      <c r="F193" s="337" t="s">
        <v>13</v>
      </c>
      <c r="G193" s="190">
        <v>0</v>
      </c>
      <c r="H193" s="190">
        <v>0</v>
      </c>
      <c r="I193" s="190">
        <v>0</v>
      </c>
      <c r="J193" s="190">
        <v>0</v>
      </c>
      <c r="K193" s="190">
        <v>0</v>
      </c>
      <c r="L193" s="189">
        <v>0</v>
      </c>
      <c r="M193" s="189">
        <v>0</v>
      </c>
      <c r="N193" s="15">
        <f t="shared" si="10"/>
        <v>0</v>
      </c>
      <c r="O193" s="190">
        <v>0</v>
      </c>
      <c r="P193" s="15">
        <v>800</v>
      </c>
      <c r="Q193" s="190">
        <v>0</v>
      </c>
      <c r="R193" s="189">
        <v>0</v>
      </c>
      <c r="S193" s="189">
        <v>0</v>
      </c>
      <c r="T193" s="190">
        <v>0</v>
      </c>
      <c r="U193" s="15">
        <f t="shared" si="11"/>
        <v>800</v>
      </c>
      <c r="V193" s="16">
        <f t="shared" si="9"/>
        <v>0</v>
      </c>
      <c r="W193" s="16">
        <f>N193+O193-'додаток сесія_2024_2028_161 (2'!O193</f>
        <v>0</v>
      </c>
    </row>
    <row r="194" spans="1:23" s="17" customFormat="1" ht="63" customHeight="1" x14ac:dyDescent="0.2">
      <c r="A194" s="94"/>
      <c r="B194" s="92"/>
      <c r="C194" s="105" t="s">
        <v>414</v>
      </c>
      <c r="D194" s="106" t="s">
        <v>88</v>
      </c>
      <c r="E194" s="482"/>
      <c r="F194" s="337" t="s">
        <v>13</v>
      </c>
      <c r="G194" s="190">
        <v>0</v>
      </c>
      <c r="H194" s="190">
        <v>0</v>
      </c>
      <c r="I194" s="190">
        <v>0</v>
      </c>
      <c r="J194" s="190">
        <v>0</v>
      </c>
      <c r="K194" s="190">
        <v>0</v>
      </c>
      <c r="L194" s="189">
        <v>0</v>
      </c>
      <c r="M194" s="189">
        <v>0</v>
      </c>
      <c r="N194" s="15">
        <f t="shared" si="10"/>
        <v>0</v>
      </c>
      <c r="O194" s="190">
        <v>0</v>
      </c>
      <c r="P194" s="190">
        <v>0</v>
      </c>
      <c r="Q194" s="15">
        <v>25000</v>
      </c>
      <c r="R194" s="189">
        <v>0</v>
      </c>
      <c r="S194" s="189">
        <v>0</v>
      </c>
      <c r="T194" s="190">
        <v>0</v>
      </c>
      <c r="U194" s="15">
        <f t="shared" si="11"/>
        <v>25000</v>
      </c>
      <c r="V194" s="16">
        <f t="shared" si="9"/>
        <v>0</v>
      </c>
      <c r="W194" s="16">
        <f>N194+O194-'додаток сесія_2024_2028_161 (2'!O194</f>
        <v>0</v>
      </c>
    </row>
    <row r="195" spans="1:23" s="17" customFormat="1" ht="48.75" customHeight="1" x14ac:dyDescent="0.2">
      <c r="A195" s="94"/>
      <c r="B195" s="92"/>
      <c r="C195" s="83" t="s">
        <v>434</v>
      </c>
      <c r="D195" s="106" t="s">
        <v>88</v>
      </c>
      <c r="E195" s="482"/>
      <c r="F195" s="337" t="s">
        <v>13</v>
      </c>
      <c r="G195" s="190">
        <v>0</v>
      </c>
      <c r="H195" s="190">
        <v>0</v>
      </c>
      <c r="I195" s="190">
        <v>0</v>
      </c>
      <c r="J195" s="190">
        <v>0</v>
      </c>
      <c r="K195" s="190">
        <v>0</v>
      </c>
      <c r="L195" s="189">
        <v>0</v>
      </c>
      <c r="M195" s="189">
        <v>0</v>
      </c>
      <c r="N195" s="15">
        <f t="shared" si="10"/>
        <v>0</v>
      </c>
      <c r="O195" s="190">
        <v>0</v>
      </c>
      <c r="P195" s="15">
        <v>2663.3</v>
      </c>
      <c r="Q195" s="190">
        <v>0</v>
      </c>
      <c r="R195" s="189">
        <v>0</v>
      </c>
      <c r="S195" s="189">
        <v>0</v>
      </c>
      <c r="T195" s="190">
        <v>0</v>
      </c>
      <c r="U195" s="15">
        <f t="shared" si="11"/>
        <v>2663.3</v>
      </c>
      <c r="V195" s="16">
        <f t="shared" si="9"/>
        <v>0</v>
      </c>
      <c r="W195" s="16">
        <f>N195+O195-'додаток сесія_2024_2028_161 (2'!O195</f>
        <v>0</v>
      </c>
    </row>
    <row r="196" spans="1:23" s="17" customFormat="1" ht="56.25" customHeight="1" x14ac:dyDescent="0.2">
      <c r="A196" s="94"/>
      <c r="B196" s="92"/>
      <c r="C196" s="85" t="s">
        <v>433</v>
      </c>
      <c r="D196" s="104" t="s">
        <v>88</v>
      </c>
      <c r="E196" s="482"/>
      <c r="F196" s="337" t="s">
        <v>13</v>
      </c>
      <c r="G196" s="190">
        <v>0</v>
      </c>
      <c r="H196" s="190">
        <v>0</v>
      </c>
      <c r="I196" s="190">
        <v>0</v>
      </c>
      <c r="J196" s="190">
        <v>0</v>
      </c>
      <c r="K196" s="190">
        <v>0</v>
      </c>
      <c r="L196" s="189">
        <v>0</v>
      </c>
      <c r="M196" s="189">
        <v>0</v>
      </c>
      <c r="N196" s="15">
        <f t="shared" si="10"/>
        <v>0</v>
      </c>
      <c r="O196" s="190">
        <v>0</v>
      </c>
      <c r="P196" s="190">
        <v>0</v>
      </c>
      <c r="Q196" s="15">
        <v>250000</v>
      </c>
      <c r="R196" s="189">
        <v>0</v>
      </c>
      <c r="S196" s="189">
        <v>0</v>
      </c>
      <c r="T196" s="190">
        <v>0</v>
      </c>
      <c r="U196" s="15">
        <f t="shared" si="11"/>
        <v>250000</v>
      </c>
      <c r="V196" s="16">
        <f t="shared" si="9"/>
        <v>0</v>
      </c>
      <c r="W196" s="16">
        <f>N196+O196-'додаток сесія_2024_2028_161 (2'!O196</f>
        <v>0</v>
      </c>
    </row>
    <row r="197" spans="1:23" s="17" customFormat="1" ht="43.5" customHeight="1" x14ac:dyDescent="0.2">
      <c r="A197" s="399"/>
      <c r="B197" s="400"/>
      <c r="C197" s="83" t="s">
        <v>432</v>
      </c>
      <c r="D197" s="394" t="s">
        <v>88</v>
      </c>
      <c r="E197" s="335"/>
      <c r="F197" s="337" t="s">
        <v>13</v>
      </c>
      <c r="G197" s="190">
        <v>0</v>
      </c>
      <c r="H197" s="190">
        <v>0</v>
      </c>
      <c r="I197" s="190">
        <v>0</v>
      </c>
      <c r="J197" s="190">
        <v>0</v>
      </c>
      <c r="K197" s="190">
        <v>0</v>
      </c>
      <c r="L197" s="189">
        <v>0</v>
      </c>
      <c r="M197" s="189">
        <v>0</v>
      </c>
      <c r="N197" s="15">
        <f t="shared" si="10"/>
        <v>0</v>
      </c>
      <c r="O197" s="190">
        <v>0</v>
      </c>
      <c r="P197" s="15">
        <v>100</v>
      </c>
      <c r="Q197" s="190">
        <v>0</v>
      </c>
      <c r="R197" s="189">
        <v>0</v>
      </c>
      <c r="S197" s="189">
        <v>0</v>
      </c>
      <c r="T197" s="190">
        <v>0</v>
      </c>
      <c r="U197" s="15">
        <f t="shared" si="11"/>
        <v>100</v>
      </c>
      <c r="V197" s="16">
        <f t="shared" si="9"/>
        <v>0</v>
      </c>
      <c r="W197" s="16">
        <f>N197+O197-'додаток сесія_2024_2028_161 (2'!O197</f>
        <v>0</v>
      </c>
    </row>
    <row r="198" spans="1:23" s="17" customFormat="1" ht="42.75" customHeight="1" x14ac:dyDescent="0.2">
      <c r="A198" s="94"/>
      <c r="B198" s="92"/>
      <c r="C198" s="374" t="s">
        <v>200</v>
      </c>
      <c r="D198" s="391" t="s">
        <v>88</v>
      </c>
      <c r="E198" s="92"/>
      <c r="F198" s="337" t="s">
        <v>13</v>
      </c>
      <c r="G198" s="190">
        <v>0</v>
      </c>
      <c r="H198" s="190">
        <v>0</v>
      </c>
      <c r="I198" s="190">
        <v>0</v>
      </c>
      <c r="J198" s="190">
        <v>0</v>
      </c>
      <c r="K198" s="190">
        <v>0</v>
      </c>
      <c r="L198" s="189">
        <v>0</v>
      </c>
      <c r="M198" s="189">
        <v>0</v>
      </c>
      <c r="N198" s="15">
        <f t="shared" si="10"/>
        <v>0</v>
      </c>
      <c r="O198" s="190">
        <v>0</v>
      </c>
      <c r="P198" s="15">
        <v>1950.5</v>
      </c>
      <c r="Q198" s="190">
        <v>0</v>
      </c>
      <c r="R198" s="189">
        <v>0</v>
      </c>
      <c r="S198" s="189">
        <v>0</v>
      </c>
      <c r="T198" s="190">
        <v>0</v>
      </c>
      <c r="U198" s="15">
        <f t="shared" si="11"/>
        <v>1950.5</v>
      </c>
      <c r="V198" s="16">
        <f t="shared" si="9"/>
        <v>0</v>
      </c>
      <c r="W198" s="16">
        <f>N198+O198-'додаток сесія_2024_2028_161 (2'!O198</f>
        <v>0</v>
      </c>
    </row>
    <row r="199" spans="1:23" s="17" customFormat="1" ht="72" customHeight="1" x14ac:dyDescent="0.2">
      <c r="A199" s="94"/>
      <c r="B199" s="92"/>
      <c r="C199" s="105" t="s">
        <v>421</v>
      </c>
      <c r="D199" s="106" t="s">
        <v>88</v>
      </c>
      <c r="E199" s="482"/>
      <c r="F199" s="337" t="s">
        <v>13</v>
      </c>
      <c r="G199" s="190">
        <v>0</v>
      </c>
      <c r="H199" s="190">
        <v>0</v>
      </c>
      <c r="I199" s="190">
        <v>0</v>
      </c>
      <c r="J199" s="190">
        <v>0</v>
      </c>
      <c r="K199" s="190">
        <v>0</v>
      </c>
      <c r="L199" s="189">
        <v>0</v>
      </c>
      <c r="M199" s="189">
        <v>0</v>
      </c>
      <c r="N199" s="15">
        <f t="shared" si="10"/>
        <v>0</v>
      </c>
      <c r="O199" s="190">
        <v>0</v>
      </c>
      <c r="P199" s="15">
        <v>0</v>
      </c>
      <c r="Q199" s="190">
        <v>120</v>
      </c>
      <c r="R199" s="189">
        <v>0</v>
      </c>
      <c r="S199" s="189">
        <v>0</v>
      </c>
      <c r="T199" s="190">
        <v>0</v>
      </c>
      <c r="U199" s="15">
        <f t="shared" si="11"/>
        <v>120</v>
      </c>
      <c r="V199" s="16">
        <f t="shared" si="9"/>
        <v>0</v>
      </c>
      <c r="W199" s="16">
        <f>N199+O199-'додаток сесія_2024_2028_161 (2'!O199</f>
        <v>0</v>
      </c>
    </row>
    <row r="200" spans="1:23" s="17" customFormat="1" ht="57" customHeight="1" x14ac:dyDescent="0.2">
      <c r="A200" s="94"/>
      <c r="B200" s="92"/>
      <c r="C200" s="105" t="s">
        <v>378</v>
      </c>
      <c r="D200" s="106" t="s">
        <v>88</v>
      </c>
      <c r="E200" s="482"/>
      <c r="F200" s="337" t="s">
        <v>13</v>
      </c>
      <c r="G200" s="190">
        <v>0</v>
      </c>
      <c r="H200" s="190">
        <v>0</v>
      </c>
      <c r="I200" s="190">
        <v>0</v>
      </c>
      <c r="J200" s="190">
        <v>0</v>
      </c>
      <c r="K200" s="190">
        <v>0</v>
      </c>
      <c r="L200" s="189">
        <v>0</v>
      </c>
      <c r="M200" s="189">
        <v>0</v>
      </c>
      <c r="N200" s="15">
        <f t="shared" si="10"/>
        <v>0</v>
      </c>
      <c r="O200" s="190">
        <v>0</v>
      </c>
      <c r="P200" s="15">
        <v>0</v>
      </c>
      <c r="Q200" s="190">
        <v>2280</v>
      </c>
      <c r="R200" s="189">
        <v>0</v>
      </c>
      <c r="S200" s="189">
        <v>0</v>
      </c>
      <c r="T200" s="190">
        <v>0</v>
      </c>
      <c r="U200" s="15">
        <f t="shared" si="11"/>
        <v>2280</v>
      </c>
      <c r="V200" s="16">
        <f t="shared" si="9"/>
        <v>0</v>
      </c>
      <c r="W200" s="16">
        <f>N200+O200-'додаток сесія_2024_2028_161 (2'!O200</f>
        <v>0</v>
      </c>
    </row>
    <row r="201" spans="1:23" s="17" customFormat="1" ht="69" customHeight="1" x14ac:dyDescent="0.2">
      <c r="A201" s="94"/>
      <c r="B201" s="92"/>
      <c r="C201" s="105" t="s">
        <v>436</v>
      </c>
      <c r="D201" s="106" t="s">
        <v>88</v>
      </c>
      <c r="E201" s="482"/>
      <c r="F201" s="337" t="s">
        <v>13</v>
      </c>
      <c r="G201" s="190">
        <v>0</v>
      </c>
      <c r="H201" s="190">
        <v>0</v>
      </c>
      <c r="I201" s="190">
        <v>0</v>
      </c>
      <c r="J201" s="190">
        <v>0</v>
      </c>
      <c r="K201" s="190">
        <v>0</v>
      </c>
      <c r="L201" s="189">
        <v>0</v>
      </c>
      <c r="M201" s="189">
        <v>0</v>
      </c>
      <c r="N201" s="15">
        <f t="shared" si="10"/>
        <v>0</v>
      </c>
      <c r="O201" s="190">
        <v>0</v>
      </c>
      <c r="P201" s="15">
        <v>0</v>
      </c>
      <c r="Q201" s="190">
        <v>120</v>
      </c>
      <c r="R201" s="189">
        <v>0</v>
      </c>
      <c r="S201" s="189">
        <v>0</v>
      </c>
      <c r="T201" s="190">
        <v>0</v>
      </c>
      <c r="U201" s="15">
        <f t="shared" si="11"/>
        <v>120</v>
      </c>
      <c r="V201" s="16">
        <f t="shared" si="9"/>
        <v>0</v>
      </c>
      <c r="W201" s="16">
        <f>N201+O201-'додаток сесія_2024_2028_161 (2'!O201</f>
        <v>0</v>
      </c>
    </row>
    <row r="202" spans="1:23" s="17" customFormat="1" ht="69" customHeight="1" x14ac:dyDescent="0.2">
      <c r="A202" s="94"/>
      <c r="B202" s="92"/>
      <c r="C202" s="105" t="s">
        <v>393</v>
      </c>
      <c r="D202" s="106" t="s">
        <v>88</v>
      </c>
      <c r="E202" s="482"/>
      <c r="F202" s="337" t="s">
        <v>13</v>
      </c>
      <c r="G202" s="190">
        <v>0</v>
      </c>
      <c r="H202" s="190">
        <v>0</v>
      </c>
      <c r="I202" s="190">
        <v>0</v>
      </c>
      <c r="J202" s="190">
        <v>0</v>
      </c>
      <c r="K202" s="190">
        <v>0</v>
      </c>
      <c r="L202" s="189">
        <v>0</v>
      </c>
      <c r="M202" s="189">
        <v>0</v>
      </c>
      <c r="N202" s="15">
        <f t="shared" si="10"/>
        <v>0</v>
      </c>
      <c r="O202" s="190">
        <v>0</v>
      </c>
      <c r="P202" s="15">
        <v>0</v>
      </c>
      <c r="Q202" s="190">
        <v>2380</v>
      </c>
      <c r="R202" s="189">
        <v>0</v>
      </c>
      <c r="S202" s="189">
        <v>0</v>
      </c>
      <c r="T202" s="190">
        <v>0</v>
      </c>
      <c r="U202" s="15">
        <f t="shared" si="11"/>
        <v>2380</v>
      </c>
      <c r="V202" s="16">
        <f t="shared" si="9"/>
        <v>0</v>
      </c>
      <c r="W202" s="16">
        <f>N202+O202-'додаток сесія_2024_2028_161 (2'!O202</f>
        <v>0</v>
      </c>
    </row>
    <row r="203" spans="1:23" s="17" customFormat="1" ht="56.25" customHeight="1" x14ac:dyDescent="0.2">
      <c r="A203" s="94"/>
      <c r="B203" s="92"/>
      <c r="C203" s="105" t="s">
        <v>428</v>
      </c>
      <c r="D203" s="106" t="s">
        <v>88</v>
      </c>
      <c r="E203" s="482"/>
      <c r="F203" s="337" t="s">
        <v>13</v>
      </c>
      <c r="G203" s="190">
        <v>0</v>
      </c>
      <c r="H203" s="190">
        <v>0</v>
      </c>
      <c r="I203" s="190">
        <v>0</v>
      </c>
      <c r="J203" s="190">
        <v>0</v>
      </c>
      <c r="K203" s="190">
        <v>0</v>
      </c>
      <c r="L203" s="189">
        <v>0</v>
      </c>
      <c r="M203" s="189">
        <v>0</v>
      </c>
      <c r="N203" s="15">
        <f t="shared" si="10"/>
        <v>0</v>
      </c>
      <c r="O203" s="190">
        <v>0</v>
      </c>
      <c r="P203" s="189">
        <v>0</v>
      </c>
      <c r="Q203" s="190">
        <v>0</v>
      </c>
      <c r="R203" s="189">
        <v>370</v>
      </c>
      <c r="S203" s="189">
        <v>0</v>
      </c>
      <c r="T203" s="190">
        <v>0</v>
      </c>
      <c r="U203" s="15">
        <f t="shared" si="11"/>
        <v>370</v>
      </c>
      <c r="V203" s="16">
        <f t="shared" si="9"/>
        <v>0</v>
      </c>
      <c r="W203" s="16">
        <f>N203+O203-'додаток сесія_2024_2028_161 (2'!O203</f>
        <v>0</v>
      </c>
    </row>
    <row r="204" spans="1:23" s="17" customFormat="1" ht="56.25" customHeight="1" x14ac:dyDescent="0.2">
      <c r="A204" s="94"/>
      <c r="B204" s="92"/>
      <c r="C204" s="83" t="s">
        <v>435</v>
      </c>
      <c r="D204" s="106" t="s">
        <v>88</v>
      </c>
      <c r="E204" s="482"/>
      <c r="F204" s="337" t="s">
        <v>13</v>
      </c>
      <c r="G204" s="190">
        <v>0</v>
      </c>
      <c r="H204" s="190">
        <v>0</v>
      </c>
      <c r="I204" s="190">
        <v>0</v>
      </c>
      <c r="J204" s="190">
        <v>0</v>
      </c>
      <c r="K204" s="190">
        <v>0</v>
      </c>
      <c r="L204" s="189">
        <v>0</v>
      </c>
      <c r="M204" s="189">
        <v>0</v>
      </c>
      <c r="N204" s="15">
        <f t="shared" si="10"/>
        <v>0</v>
      </c>
      <c r="O204" s="190">
        <v>0</v>
      </c>
      <c r="P204" s="189">
        <v>0</v>
      </c>
      <c r="Q204" s="190">
        <v>0</v>
      </c>
      <c r="R204" s="15">
        <v>10622.3</v>
      </c>
      <c r="S204" s="189">
        <v>0</v>
      </c>
      <c r="T204" s="190">
        <v>0</v>
      </c>
      <c r="U204" s="15">
        <f t="shared" si="11"/>
        <v>10622.3</v>
      </c>
      <c r="V204" s="16">
        <f t="shared" ref="V204:V243" si="12">G204+H204+I204+J204+K204+L204+M204+O204+P204+Q204+R204+S204+T204-U204</f>
        <v>0</v>
      </c>
      <c r="W204" s="16">
        <f>N204+O204-'додаток сесія_2024_2028_161 (2'!O204</f>
        <v>0</v>
      </c>
    </row>
    <row r="205" spans="1:23" s="17" customFormat="1" ht="56.25" customHeight="1" x14ac:dyDescent="0.2">
      <c r="A205" s="94"/>
      <c r="B205" s="92"/>
      <c r="C205" s="85" t="s">
        <v>422</v>
      </c>
      <c r="D205" s="104" t="s">
        <v>88</v>
      </c>
      <c r="E205" s="482"/>
      <c r="F205" s="337" t="s">
        <v>13</v>
      </c>
      <c r="G205" s="190">
        <v>0</v>
      </c>
      <c r="H205" s="190">
        <v>0</v>
      </c>
      <c r="I205" s="190">
        <v>0</v>
      </c>
      <c r="J205" s="190">
        <v>0</v>
      </c>
      <c r="K205" s="190">
        <v>0</v>
      </c>
      <c r="L205" s="189">
        <v>0</v>
      </c>
      <c r="M205" s="189">
        <v>0</v>
      </c>
      <c r="N205" s="15">
        <f t="shared" ref="N205:N242" si="13">G205+H205+I205+J205+K205+L205+M205</f>
        <v>0</v>
      </c>
      <c r="O205" s="190">
        <v>0</v>
      </c>
      <c r="P205" s="189">
        <v>0</v>
      </c>
      <c r="Q205" s="190">
        <v>0</v>
      </c>
      <c r="R205" s="189">
        <v>0</v>
      </c>
      <c r="S205" s="189">
        <v>265</v>
      </c>
      <c r="T205" s="190">
        <v>0</v>
      </c>
      <c r="U205" s="15">
        <f t="shared" si="11"/>
        <v>265</v>
      </c>
      <c r="V205" s="16">
        <f t="shared" si="12"/>
        <v>0</v>
      </c>
      <c r="W205" s="16">
        <f>N205+O205-'додаток сесія_2024_2028_161 (2'!O205</f>
        <v>0</v>
      </c>
    </row>
    <row r="206" spans="1:23" s="17" customFormat="1" ht="55.5" customHeight="1" x14ac:dyDescent="0.2">
      <c r="A206" s="94"/>
      <c r="B206" s="92"/>
      <c r="C206" s="105" t="s">
        <v>423</v>
      </c>
      <c r="D206" s="106" t="s">
        <v>88</v>
      </c>
      <c r="E206" s="482"/>
      <c r="F206" s="337" t="s">
        <v>13</v>
      </c>
      <c r="G206" s="190">
        <v>0</v>
      </c>
      <c r="H206" s="190">
        <v>0</v>
      </c>
      <c r="I206" s="190">
        <v>0</v>
      </c>
      <c r="J206" s="190">
        <v>0</v>
      </c>
      <c r="K206" s="190">
        <v>0</v>
      </c>
      <c r="L206" s="189">
        <v>0</v>
      </c>
      <c r="M206" s="189">
        <v>0</v>
      </c>
      <c r="N206" s="15">
        <f t="shared" si="13"/>
        <v>0</v>
      </c>
      <c r="O206" s="190">
        <v>0</v>
      </c>
      <c r="P206" s="189">
        <v>0</v>
      </c>
      <c r="Q206" s="190">
        <v>0</v>
      </c>
      <c r="R206" s="189">
        <v>0</v>
      </c>
      <c r="S206" s="189">
        <v>0</v>
      </c>
      <c r="T206" s="189">
        <v>770</v>
      </c>
      <c r="U206" s="15">
        <f t="shared" si="11"/>
        <v>770</v>
      </c>
      <c r="V206" s="16">
        <f t="shared" si="12"/>
        <v>0</v>
      </c>
      <c r="W206" s="16">
        <f>N206+O206-'додаток сесія_2024_2028_161 (2'!O206</f>
        <v>0</v>
      </c>
    </row>
    <row r="207" spans="1:23" s="17" customFormat="1" ht="42" customHeight="1" x14ac:dyDescent="0.2">
      <c r="A207" s="94"/>
      <c r="B207" s="92"/>
      <c r="C207" s="105" t="s">
        <v>424</v>
      </c>
      <c r="D207" s="106" t="s">
        <v>88</v>
      </c>
      <c r="E207" s="482"/>
      <c r="F207" s="337" t="s">
        <v>13</v>
      </c>
      <c r="G207" s="190">
        <v>0</v>
      </c>
      <c r="H207" s="190">
        <v>0</v>
      </c>
      <c r="I207" s="190">
        <v>0</v>
      </c>
      <c r="J207" s="190">
        <v>0</v>
      </c>
      <c r="K207" s="190">
        <v>0</v>
      </c>
      <c r="L207" s="189">
        <v>0</v>
      </c>
      <c r="M207" s="189">
        <v>0</v>
      </c>
      <c r="N207" s="15">
        <f t="shared" si="13"/>
        <v>0</v>
      </c>
      <c r="O207" s="190">
        <v>0</v>
      </c>
      <c r="P207" s="189">
        <v>0</v>
      </c>
      <c r="Q207" s="190">
        <v>0</v>
      </c>
      <c r="R207" s="190">
        <v>0</v>
      </c>
      <c r="S207" s="15">
        <v>845</v>
      </c>
      <c r="T207" s="190">
        <v>0</v>
      </c>
      <c r="U207" s="15">
        <f t="shared" si="11"/>
        <v>845</v>
      </c>
      <c r="V207" s="16">
        <f t="shared" si="12"/>
        <v>0</v>
      </c>
      <c r="W207" s="16">
        <f>N207+O207-'додаток сесія_2024_2028_161 (2'!O207</f>
        <v>0</v>
      </c>
    </row>
    <row r="208" spans="1:23" s="17" customFormat="1" ht="41.25" customHeight="1" x14ac:dyDescent="0.2">
      <c r="A208" s="94"/>
      <c r="B208" s="92"/>
      <c r="C208" s="105" t="s">
        <v>380</v>
      </c>
      <c r="D208" s="106" t="s">
        <v>88</v>
      </c>
      <c r="E208" s="482"/>
      <c r="F208" s="337" t="s">
        <v>13</v>
      </c>
      <c r="G208" s="190">
        <v>0</v>
      </c>
      <c r="H208" s="190">
        <v>0</v>
      </c>
      <c r="I208" s="190">
        <v>0</v>
      </c>
      <c r="J208" s="190">
        <v>0</v>
      </c>
      <c r="K208" s="190">
        <v>0</v>
      </c>
      <c r="L208" s="189">
        <v>0</v>
      </c>
      <c r="M208" s="189">
        <v>0</v>
      </c>
      <c r="N208" s="15">
        <f t="shared" si="13"/>
        <v>0</v>
      </c>
      <c r="O208" s="190">
        <v>0</v>
      </c>
      <c r="P208" s="189">
        <v>0</v>
      </c>
      <c r="Q208" s="190">
        <v>0</v>
      </c>
      <c r="R208" s="190">
        <v>0</v>
      </c>
      <c r="S208" s="15">
        <v>1340</v>
      </c>
      <c r="T208" s="190">
        <v>0</v>
      </c>
      <c r="U208" s="15">
        <f t="shared" si="11"/>
        <v>1340</v>
      </c>
      <c r="V208" s="16">
        <f t="shared" si="12"/>
        <v>0</v>
      </c>
      <c r="W208" s="16">
        <f>N208+O208-'додаток сесія_2024_2028_161 (2'!O208</f>
        <v>0</v>
      </c>
    </row>
    <row r="209" spans="1:23" s="17" customFormat="1" ht="41.25" customHeight="1" x14ac:dyDescent="0.2">
      <c r="A209" s="94"/>
      <c r="B209" s="92"/>
      <c r="C209" s="105" t="s">
        <v>381</v>
      </c>
      <c r="D209" s="106" t="s">
        <v>88</v>
      </c>
      <c r="E209" s="482"/>
      <c r="F209" s="337" t="s">
        <v>13</v>
      </c>
      <c r="G209" s="190">
        <v>0</v>
      </c>
      <c r="H209" s="190">
        <v>0</v>
      </c>
      <c r="I209" s="190">
        <v>0</v>
      </c>
      <c r="J209" s="190">
        <v>0</v>
      </c>
      <c r="K209" s="190">
        <v>0</v>
      </c>
      <c r="L209" s="189">
        <v>0</v>
      </c>
      <c r="M209" s="189">
        <v>0</v>
      </c>
      <c r="N209" s="15">
        <f t="shared" si="13"/>
        <v>0</v>
      </c>
      <c r="O209" s="190">
        <v>0</v>
      </c>
      <c r="P209" s="189">
        <v>0</v>
      </c>
      <c r="Q209" s="190">
        <v>0</v>
      </c>
      <c r="R209" s="190">
        <v>0</v>
      </c>
      <c r="S209" s="190">
        <v>0</v>
      </c>
      <c r="T209" s="15">
        <v>890</v>
      </c>
      <c r="U209" s="15">
        <f t="shared" ref="U209:U215" si="14">SUM(G209:T209)-N209</f>
        <v>890</v>
      </c>
      <c r="V209" s="16">
        <f t="shared" si="12"/>
        <v>0</v>
      </c>
      <c r="W209" s="16">
        <f>N209+O209-'додаток сесія_2024_2028_161 (2'!O209</f>
        <v>0</v>
      </c>
    </row>
    <row r="210" spans="1:23" s="17" customFormat="1" ht="46.5" customHeight="1" x14ac:dyDescent="0.2">
      <c r="A210" s="94"/>
      <c r="B210" s="92"/>
      <c r="C210" s="105" t="s">
        <v>382</v>
      </c>
      <c r="D210" s="106" t="s">
        <v>88</v>
      </c>
      <c r="E210" s="482"/>
      <c r="F210" s="337" t="s">
        <v>13</v>
      </c>
      <c r="G210" s="190">
        <v>0</v>
      </c>
      <c r="H210" s="190">
        <v>0</v>
      </c>
      <c r="I210" s="190">
        <v>0</v>
      </c>
      <c r="J210" s="190">
        <v>0</v>
      </c>
      <c r="K210" s="190">
        <v>0</v>
      </c>
      <c r="L210" s="189">
        <v>0</v>
      </c>
      <c r="M210" s="189">
        <v>0</v>
      </c>
      <c r="N210" s="15">
        <f t="shared" si="13"/>
        <v>0</v>
      </c>
      <c r="O210" s="190">
        <v>0</v>
      </c>
      <c r="P210" s="189">
        <v>0</v>
      </c>
      <c r="Q210" s="190">
        <v>0</v>
      </c>
      <c r="R210" s="190">
        <v>0</v>
      </c>
      <c r="S210" s="190">
        <v>0</v>
      </c>
      <c r="T210" s="15">
        <v>2460</v>
      </c>
      <c r="U210" s="15">
        <f t="shared" si="14"/>
        <v>2460</v>
      </c>
      <c r="V210" s="16">
        <f t="shared" si="12"/>
        <v>0</v>
      </c>
      <c r="W210" s="16">
        <f>N210+O210-'додаток сесія_2024_2028_161 (2'!O210</f>
        <v>0</v>
      </c>
    </row>
    <row r="211" spans="1:23" s="17" customFormat="1" ht="57" customHeight="1" x14ac:dyDescent="0.2">
      <c r="A211" s="94"/>
      <c r="B211" s="92"/>
      <c r="C211" s="105" t="s">
        <v>425</v>
      </c>
      <c r="D211" s="106" t="s">
        <v>88</v>
      </c>
      <c r="E211" s="482"/>
      <c r="F211" s="337" t="s">
        <v>13</v>
      </c>
      <c r="G211" s="190">
        <v>0</v>
      </c>
      <c r="H211" s="190">
        <v>0</v>
      </c>
      <c r="I211" s="190">
        <v>0</v>
      </c>
      <c r="J211" s="190">
        <v>0</v>
      </c>
      <c r="K211" s="190">
        <v>0</v>
      </c>
      <c r="L211" s="189">
        <v>0</v>
      </c>
      <c r="M211" s="189">
        <v>0</v>
      </c>
      <c r="N211" s="15">
        <f t="shared" si="13"/>
        <v>0</v>
      </c>
      <c r="O211" s="190">
        <v>0</v>
      </c>
      <c r="P211" s="189">
        <v>0</v>
      </c>
      <c r="Q211" s="190">
        <v>0</v>
      </c>
      <c r="R211" s="15">
        <v>930</v>
      </c>
      <c r="S211" s="189">
        <v>0</v>
      </c>
      <c r="T211" s="190">
        <v>0</v>
      </c>
      <c r="U211" s="15">
        <f t="shared" si="14"/>
        <v>930</v>
      </c>
      <c r="V211" s="16">
        <f t="shared" si="12"/>
        <v>0</v>
      </c>
      <c r="W211" s="16">
        <f>N211+O211-'додаток сесія_2024_2028_161 (2'!O211</f>
        <v>0</v>
      </c>
    </row>
    <row r="212" spans="1:23" s="17" customFormat="1" ht="69.75" customHeight="1" x14ac:dyDescent="0.2">
      <c r="A212" s="94"/>
      <c r="B212" s="92"/>
      <c r="C212" s="105" t="s">
        <v>426</v>
      </c>
      <c r="D212" s="106" t="s">
        <v>88</v>
      </c>
      <c r="E212" s="482"/>
      <c r="F212" s="337" t="s">
        <v>13</v>
      </c>
      <c r="G212" s="190">
        <v>0</v>
      </c>
      <c r="H212" s="190">
        <v>0</v>
      </c>
      <c r="I212" s="190">
        <v>0</v>
      </c>
      <c r="J212" s="190">
        <v>0</v>
      </c>
      <c r="K212" s="190">
        <v>0</v>
      </c>
      <c r="L212" s="189">
        <v>0</v>
      </c>
      <c r="M212" s="189">
        <v>0</v>
      </c>
      <c r="N212" s="15">
        <f t="shared" si="13"/>
        <v>0</v>
      </c>
      <c r="O212" s="190">
        <v>0</v>
      </c>
      <c r="P212" s="189">
        <v>0</v>
      </c>
      <c r="Q212" s="190">
        <v>0</v>
      </c>
      <c r="R212" s="190">
        <v>0</v>
      </c>
      <c r="S212" s="15">
        <v>9500</v>
      </c>
      <c r="T212" s="190">
        <v>0</v>
      </c>
      <c r="U212" s="15">
        <f t="shared" si="14"/>
        <v>9500</v>
      </c>
      <c r="V212" s="16">
        <f t="shared" si="12"/>
        <v>0</v>
      </c>
      <c r="W212" s="16">
        <f>N212+O212-'додаток сесія_2024_2028_161 (2'!O212</f>
        <v>0</v>
      </c>
    </row>
    <row r="213" spans="1:23" s="17" customFormat="1" ht="56.25" customHeight="1" x14ac:dyDescent="0.2">
      <c r="A213" s="399"/>
      <c r="B213" s="400"/>
      <c r="C213" s="83" t="s">
        <v>427</v>
      </c>
      <c r="D213" s="394" t="s">
        <v>88</v>
      </c>
      <c r="E213" s="335"/>
      <c r="F213" s="337" t="s">
        <v>13</v>
      </c>
      <c r="G213" s="190">
        <v>0</v>
      </c>
      <c r="H213" s="190">
        <v>0</v>
      </c>
      <c r="I213" s="190">
        <v>0</v>
      </c>
      <c r="J213" s="190">
        <v>0</v>
      </c>
      <c r="K213" s="190">
        <v>0</v>
      </c>
      <c r="L213" s="189">
        <v>0</v>
      </c>
      <c r="M213" s="189">
        <v>0</v>
      </c>
      <c r="N213" s="15">
        <f t="shared" si="13"/>
        <v>0</v>
      </c>
      <c r="O213" s="190">
        <v>0</v>
      </c>
      <c r="P213" s="189">
        <v>0</v>
      </c>
      <c r="Q213" s="190">
        <v>0</v>
      </c>
      <c r="R213" s="190">
        <v>0</v>
      </c>
      <c r="S213" s="15">
        <v>980</v>
      </c>
      <c r="T213" s="190">
        <v>0</v>
      </c>
      <c r="U213" s="15">
        <f t="shared" si="14"/>
        <v>980</v>
      </c>
      <c r="V213" s="16">
        <f t="shared" si="12"/>
        <v>0</v>
      </c>
      <c r="W213" s="16">
        <f>N213+O213-'додаток сесія_2024_2028_161 (2'!O213</f>
        <v>0</v>
      </c>
    </row>
    <row r="214" spans="1:23" s="17" customFormat="1" ht="70.5" customHeight="1" x14ac:dyDescent="0.2">
      <c r="A214" s="334"/>
      <c r="B214" s="335"/>
      <c r="C214" s="374" t="s">
        <v>385</v>
      </c>
      <c r="D214" s="391" t="s">
        <v>88</v>
      </c>
      <c r="E214" s="490"/>
      <c r="F214" s="337" t="s">
        <v>13</v>
      </c>
      <c r="G214" s="190">
        <v>0</v>
      </c>
      <c r="H214" s="190">
        <v>0</v>
      </c>
      <c r="I214" s="190">
        <v>0</v>
      </c>
      <c r="J214" s="190">
        <v>0</v>
      </c>
      <c r="K214" s="190">
        <v>0</v>
      </c>
      <c r="L214" s="189">
        <v>0</v>
      </c>
      <c r="M214" s="189">
        <v>0</v>
      </c>
      <c r="N214" s="15">
        <f t="shared" si="13"/>
        <v>0</v>
      </c>
      <c r="O214" s="190">
        <v>0</v>
      </c>
      <c r="P214" s="189">
        <v>0</v>
      </c>
      <c r="Q214" s="190">
        <v>0</v>
      </c>
      <c r="R214" s="189">
        <v>0</v>
      </c>
      <c r="S214" s="190">
        <v>0</v>
      </c>
      <c r="T214" s="15">
        <v>10050</v>
      </c>
      <c r="U214" s="15">
        <f t="shared" si="14"/>
        <v>10050</v>
      </c>
      <c r="V214" s="16">
        <f t="shared" si="12"/>
        <v>0</v>
      </c>
      <c r="W214" s="16">
        <f>N214+O214-'додаток сесія_2024_2028_161 (2'!O214</f>
        <v>0</v>
      </c>
    </row>
    <row r="215" spans="1:23" s="17" customFormat="1" ht="45.75" customHeight="1" x14ac:dyDescent="0.2">
      <c r="A215" s="94"/>
      <c r="B215" s="92"/>
      <c r="C215" s="105" t="s">
        <v>208</v>
      </c>
      <c r="D215" s="106" t="s">
        <v>88</v>
      </c>
      <c r="E215" s="482"/>
      <c r="F215" s="337" t="s">
        <v>13</v>
      </c>
      <c r="G215" s="190">
        <v>0</v>
      </c>
      <c r="H215" s="190">
        <v>0</v>
      </c>
      <c r="I215" s="190">
        <v>0</v>
      </c>
      <c r="J215" s="190">
        <v>0</v>
      </c>
      <c r="K215" s="190">
        <v>0</v>
      </c>
      <c r="L215" s="189">
        <v>0</v>
      </c>
      <c r="M215" s="189">
        <v>0</v>
      </c>
      <c r="N215" s="15">
        <f t="shared" si="13"/>
        <v>0</v>
      </c>
      <c r="O215" s="190">
        <v>0</v>
      </c>
      <c r="P215" s="15">
        <v>619</v>
      </c>
      <c r="Q215" s="190">
        <v>0</v>
      </c>
      <c r="R215" s="190">
        <v>0</v>
      </c>
      <c r="S215" s="189">
        <v>0</v>
      </c>
      <c r="T215" s="189">
        <v>0</v>
      </c>
      <c r="U215" s="15">
        <f t="shared" si="14"/>
        <v>619</v>
      </c>
      <c r="V215" s="16">
        <f t="shared" si="12"/>
        <v>0</v>
      </c>
      <c r="W215" s="16">
        <f>N215+O215-'додаток сесія_2024_2028_161 (2'!O215</f>
        <v>0</v>
      </c>
    </row>
    <row r="216" spans="1:23" ht="36.75" customHeight="1" x14ac:dyDescent="0.2">
      <c r="A216" s="569" t="s">
        <v>91</v>
      </c>
      <c r="B216" s="570"/>
      <c r="C216" s="571"/>
      <c r="D216" s="572"/>
      <c r="E216" s="573"/>
      <c r="F216" s="489" t="s">
        <v>124</v>
      </c>
      <c r="G216" s="191">
        <f>SUM(G80:G169)</f>
        <v>138423.32</v>
      </c>
      <c r="H216" s="191">
        <f>SUM(H80:H169)</f>
        <v>204758.1</v>
      </c>
      <c r="I216" s="191">
        <f>SUM(I80:I169)</f>
        <v>220709</v>
      </c>
      <c r="J216" s="191">
        <f t="shared" ref="J216:T216" si="15">SUM(J80:J215)</f>
        <v>313192.90000000002</v>
      </c>
      <c r="K216" s="191">
        <f t="shared" si="15"/>
        <v>421613.6</v>
      </c>
      <c r="L216" s="191">
        <f t="shared" si="15"/>
        <v>1308589.8</v>
      </c>
      <c r="M216" s="191">
        <f>SUM(M80:M215)</f>
        <v>1406025</v>
      </c>
      <c r="N216" s="191">
        <f>SUM(N80:N215)</f>
        <v>4013311.72</v>
      </c>
      <c r="O216" s="191">
        <f t="shared" si="15"/>
        <v>1203878.7</v>
      </c>
      <c r="P216" s="191">
        <f>SUM(P80:P215)</f>
        <v>799633.3</v>
      </c>
      <c r="Q216" s="191">
        <f t="shared" si="15"/>
        <v>1555427.01</v>
      </c>
      <c r="R216" s="191">
        <f t="shared" si="15"/>
        <v>1165102.8155799999</v>
      </c>
      <c r="S216" s="191">
        <f t="shared" si="15"/>
        <v>1309785.47828364</v>
      </c>
      <c r="T216" s="191">
        <f t="shared" si="15"/>
        <v>1420277.1948240912</v>
      </c>
      <c r="U216" s="191">
        <f>SUM(U80:U215)</f>
        <v>11467416.218687735</v>
      </c>
      <c r="V216" s="107">
        <f t="shared" si="12"/>
        <v>0</v>
      </c>
      <c r="W216" s="16">
        <f>N216+O216-'додаток сесія_2024_2028_161 (2'!O216</f>
        <v>0</v>
      </c>
    </row>
    <row r="217" spans="1:23" ht="52.5" customHeight="1" x14ac:dyDescent="0.2">
      <c r="A217" s="108">
        <v>3</v>
      </c>
      <c r="B217" s="559" t="s">
        <v>209</v>
      </c>
      <c r="C217" s="109" t="s">
        <v>210</v>
      </c>
      <c r="D217" s="110" t="s">
        <v>61</v>
      </c>
      <c r="E217" s="561" t="s">
        <v>211</v>
      </c>
      <c r="F217" s="143" t="s">
        <v>13</v>
      </c>
      <c r="G217" s="115">
        <v>0</v>
      </c>
      <c r="H217" s="115">
        <v>0</v>
      </c>
      <c r="I217" s="115">
        <v>0</v>
      </c>
      <c r="J217" s="115">
        <v>4059.9</v>
      </c>
      <c r="K217" s="115">
        <v>20246.5</v>
      </c>
      <c r="L217" s="115">
        <v>48490</v>
      </c>
      <c r="M217" s="115">
        <v>51250</v>
      </c>
      <c r="N217" s="15">
        <f t="shared" si="13"/>
        <v>124046.39999999999</v>
      </c>
      <c r="O217" s="115">
        <f>53650-10623.9</f>
        <v>43026.1</v>
      </c>
      <c r="P217" s="115">
        <v>0</v>
      </c>
      <c r="Q217" s="115">
        <v>0</v>
      </c>
      <c r="R217" s="115">
        <v>0</v>
      </c>
      <c r="S217" s="115">
        <v>0</v>
      </c>
      <c r="T217" s="115">
        <v>0</v>
      </c>
      <c r="U217" s="115">
        <f>SUM(G217:T217)-N217</f>
        <v>167072.49999999997</v>
      </c>
      <c r="V217" s="107">
        <f t="shared" si="12"/>
        <v>0</v>
      </c>
      <c r="W217" s="16">
        <f>N217+O217-'додаток сесія_2024_2028_161 (2'!O217</f>
        <v>0</v>
      </c>
    </row>
    <row r="218" spans="1:23" ht="44.25" hidden="1" customHeight="1" x14ac:dyDescent="0.2">
      <c r="A218" s="112"/>
      <c r="B218" s="560"/>
      <c r="C218" s="113" t="s">
        <v>212</v>
      </c>
      <c r="D218" s="114" t="s">
        <v>71</v>
      </c>
      <c r="E218" s="562"/>
      <c r="F218" s="293" t="s">
        <v>213</v>
      </c>
      <c r="G218" s="115">
        <v>0</v>
      </c>
      <c r="H218" s="115">
        <v>0</v>
      </c>
      <c r="I218" s="115">
        <v>0</v>
      </c>
      <c r="J218" s="115">
        <v>0</v>
      </c>
      <c r="K218" s="115">
        <v>0</v>
      </c>
      <c r="L218" s="115">
        <v>0</v>
      </c>
      <c r="M218" s="115"/>
      <c r="N218" s="15">
        <f t="shared" si="13"/>
        <v>0</v>
      </c>
      <c r="O218" s="115"/>
      <c r="P218" s="115"/>
      <c r="Q218" s="115"/>
      <c r="R218" s="115"/>
      <c r="S218" s="115"/>
      <c r="T218" s="115"/>
      <c r="U218" s="115" t="e">
        <f>SUM(G218:T218)-#REF!</f>
        <v>#REF!</v>
      </c>
      <c r="V218" s="107" t="e">
        <f t="shared" si="12"/>
        <v>#REF!</v>
      </c>
      <c r="W218" s="16">
        <f>N218+O218-'додаток сесія_2024_2028_161 (2'!O218</f>
        <v>0</v>
      </c>
    </row>
    <row r="219" spans="1:23" ht="44.25" hidden="1" customHeight="1" x14ac:dyDescent="0.2">
      <c r="A219" s="112"/>
      <c r="B219" s="560"/>
      <c r="C219" s="116" t="s">
        <v>214</v>
      </c>
      <c r="D219" s="114" t="s">
        <v>71</v>
      </c>
      <c r="E219" s="562"/>
      <c r="F219" s="293" t="s">
        <v>213</v>
      </c>
      <c r="G219" s="115">
        <v>0</v>
      </c>
      <c r="H219" s="115">
        <v>0</v>
      </c>
      <c r="I219" s="115">
        <v>0</v>
      </c>
      <c r="J219" s="115">
        <v>0</v>
      </c>
      <c r="K219" s="115">
        <v>0</v>
      </c>
      <c r="L219" s="115">
        <v>0</v>
      </c>
      <c r="M219" s="115"/>
      <c r="N219" s="15">
        <f t="shared" si="13"/>
        <v>0</v>
      </c>
      <c r="O219" s="115"/>
      <c r="P219" s="115"/>
      <c r="Q219" s="115"/>
      <c r="R219" s="115"/>
      <c r="S219" s="115"/>
      <c r="T219" s="115"/>
      <c r="U219" s="115" t="e">
        <f>SUM(G219:T219)-#REF!</f>
        <v>#REF!</v>
      </c>
      <c r="V219" s="107" t="e">
        <f t="shared" si="12"/>
        <v>#REF!</v>
      </c>
      <c r="W219" s="16">
        <f>N219+O219-'додаток сесія_2024_2028_161 (2'!O219</f>
        <v>0</v>
      </c>
    </row>
    <row r="220" spans="1:23" ht="45" customHeight="1" x14ac:dyDescent="0.2">
      <c r="A220" s="117"/>
      <c r="B220" s="560"/>
      <c r="C220" s="118" t="s">
        <v>215</v>
      </c>
      <c r="D220" s="119" t="s">
        <v>61</v>
      </c>
      <c r="E220" s="562"/>
      <c r="F220" s="143" t="s">
        <v>13</v>
      </c>
      <c r="G220" s="120">
        <v>0</v>
      </c>
      <c r="H220" s="120">
        <v>0</v>
      </c>
      <c r="I220" s="120">
        <v>0</v>
      </c>
      <c r="J220" s="120">
        <v>519.4</v>
      </c>
      <c r="K220" s="120">
        <v>1000</v>
      </c>
      <c r="L220" s="120">
        <v>1000</v>
      </c>
      <c r="M220" s="120">
        <v>1070</v>
      </c>
      <c r="N220" s="15">
        <f t="shared" si="13"/>
        <v>3589.4</v>
      </c>
      <c r="O220" s="120">
        <v>1070</v>
      </c>
      <c r="P220" s="115">
        <v>0</v>
      </c>
      <c r="Q220" s="115">
        <v>0</v>
      </c>
      <c r="R220" s="115">
        <v>0</v>
      </c>
      <c r="S220" s="115">
        <v>0</v>
      </c>
      <c r="T220" s="115">
        <v>0</v>
      </c>
      <c r="U220" s="115">
        <f t="shared" ref="U220:U232" si="16">SUM(G220:T220)-N220</f>
        <v>4659.3999999999996</v>
      </c>
      <c r="V220" s="107">
        <f t="shared" si="12"/>
        <v>0</v>
      </c>
      <c r="W220" s="16">
        <f>N220+O220-'додаток сесія_2024_2028_161 (2'!O220</f>
        <v>0</v>
      </c>
    </row>
    <row r="221" spans="1:23" ht="48.75" customHeight="1" x14ac:dyDescent="0.2">
      <c r="A221" s="117"/>
      <c r="B221" s="560"/>
      <c r="C221" s="121" t="s">
        <v>216</v>
      </c>
      <c r="D221" s="122" t="s">
        <v>68</v>
      </c>
      <c r="E221" s="562" t="s">
        <v>217</v>
      </c>
      <c r="F221" s="143" t="s">
        <v>13</v>
      </c>
      <c r="G221" s="120">
        <v>0</v>
      </c>
      <c r="H221" s="120">
        <v>0</v>
      </c>
      <c r="I221" s="120">
        <v>0</v>
      </c>
      <c r="J221" s="120">
        <v>972</v>
      </c>
      <c r="K221" s="120">
        <v>3900</v>
      </c>
      <c r="L221" s="120">
        <v>0</v>
      </c>
      <c r="M221" s="120">
        <v>0</v>
      </c>
      <c r="N221" s="15">
        <f t="shared" si="13"/>
        <v>4872</v>
      </c>
      <c r="O221" s="120">
        <v>0</v>
      </c>
      <c r="P221" s="115">
        <v>0</v>
      </c>
      <c r="Q221" s="115">
        <v>0</v>
      </c>
      <c r="R221" s="115">
        <v>0</v>
      </c>
      <c r="S221" s="115">
        <v>0</v>
      </c>
      <c r="T221" s="115">
        <v>0</v>
      </c>
      <c r="U221" s="115">
        <f t="shared" si="16"/>
        <v>4872</v>
      </c>
      <c r="V221" s="107">
        <f t="shared" si="12"/>
        <v>0</v>
      </c>
      <c r="W221" s="16">
        <f>N221+O221-'додаток сесія_2024_2028_161 (2'!O221</f>
        <v>0</v>
      </c>
    </row>
    <row r="222" spans="1:23" ht="45.75" customHeight="1" x14ac:dyDescent="0.2">
      <c r="A222" s="124"/>
      <c r="B222" s="560"/>
      <c r="C222" s="126" t="s">
        <v>218</v>
      </c>
      <c r="D222" s="127">
        <v>2020</v>
      </c>
      <c r="E222" s="562"/>
      <c r="F222" s="143" t="s">
        <v>13</v>
      </c>
      <c r="G222" s="120">
        <v>0</v>
      </c>
      <c r="H222" s="120">
        <v>0</v>
      </c>
      <c r="I222" s="120">
        <v>0</v>
      </c>
      <c r="J222" s="120">
        <v>0</v>
      </c>
      <c r="K222" s="120">
        <v>900</v>
      </c>
      <c r="L222" s="120">
        <v>0</v>
      </c>
      <c r="M222" s="120">
        <v>0</v>
      </c>
      <c r="N222" s="15">
        <f t="shared" si="13"/>
        <v>900</v>
      </c>
      <c r="O222" s="120">
        <v>0</v>
      </c>
      <c r="P222" s="115">
        <v>0</v>
      </c>
      <c r="Q222" s="115">
        <v>0</v>
      </c>
      <c r="R222" s="115">
        <v>0</v>
      </c>
      <c r="S222" s="115">
        <v>0</v>
      </c>
      <c r="T222" s="115">
        <v>0</v>
      </c>
      <c r="U222" s="115">
        <f t="shared" si="16"/>
        <v>900</v>
      </c>
      <c r="V222" s="107">
        <f t="shared" si="12"/>
        <v>0</v>
      </c>
      <c r="W222" s="16">
        <f>N222+O222-'додаток сесія_2024_2028_161 (2'!O222</f>
        <v>0</v>
      </c>
    </row>
    <row r="223" spans="1:23" ht="44.25" customHeight="1" x14ac:dyDescent="0.2">
      <c r="A223" s="124"/>
      <c r="B223" s="560"/>
      <c r="C223" s="118" t="s">
        <v>219</v>
      </c>
      <c r="D223" s="128" t="s">
        <v>109</v>
      </c>
      <c r="E223" s="124"/>
      <c r="F223" s="143" t="s">
        <v>13</v>
      </c>
      <c r="G223" s="120">
        <v>0</v>
      </c>
      <c r="H223" s="120">
        <v>0</v>
      </c>
      <c r="I223" s="120">
        <v>0</v>
      </c>
      <c r="J223" s="120">
        <v>0</v>
      </c>
      <c r="K223" s="120">
        <v>350</v>
      </c>
      <c r="L223" s="120">
        <v>370</v>
      </c>
      <c r="M223" s="120">
        <v>0</v>
      </c>
      <c r="N223" s="15">
        <f t="shared" si="13"/>
        <v>720</v>
      </c>
      <c r="O223" s="120">
        <v>0</v>
      </c>
      <c r="P223" s="115">
        <v>0</v>
      </c>
      <c r="Q223" s="115">
        <v>0</v>
      </c>
      <c r="R223" s="115">
        <v>0</v>
      </c>
      <c r="S223" s="115">
        <v>0</v>
      </c>
      <c r="T223" s="115">
        <v>0</v>
      </c>
      <c r="U223" s="115">
        <f t="shared" si="16"/>
        <v>720</v>
      </c>
      <c r="V223" s="107">
        <f t="shared" si="12"/>
        <v>0</v>
      </c>
      <c r="W223" s="16">
        <f>N223+O223-'додаток сесія_2024_2028_161 (2'!O223</f>
        <v>0</v>
      </c>
    </row>
    <row r="224" spans="1:23" ht="47.25" customHeight="1" x14ac:dyDescent="0.2">
      <c r="A224" s="124"/>
      <c r="B224" s="125"/>
      <c r="C224" s="129" t="s">
        <v>220</v>
      </c>
      <c r="D224" s="122" t="s">
        <v>109</v>
      </c>
      <c r="E224" s="124"/>
      <c r="F224" s="143" t="s">
        <v>13</v>
      </c>
      <c r="G224" s="120">
        <v>0</v>
      </c>
      <c r="H224" s="120">
        <v>0</v>
      </c>
      <c r="I224" s="120">
        <v>0</v>
      </c>
      <c r="J224" s="120">
        <v>0</v>
      </c>
      <c r="K224" s="120">
        <v>1000</v>
      </c>
      <c r="L224" s="120">
        <v>3000</v>
      </c>
      <c r="M224" s="120">
        <v>3000</v>
      </c>
      <c r="N224" s="15">
        <f t="shared" si="13"/>
        <v>7000</v>
      </c>
      <c r="O224" s="120">
        <v>3000</v>
      </c>
      <c r="P224" s="115">
        <v>0</v>
      </c>
      <c r="Q224" s="115">
        <v>0</v>
      </c>
      <c r="R224" s="115">
        <v>0</v>
      </c>
      <c r="S224" s="115">
        <v>0</v>
      </c>
      <c r="T224" s="115">
        <v>0</v>
      </c>
      <c r="U224" s="115">
        <f t="shared" si="16"/>
        <v>10000</v>
      </c>
      <c r="V224" s="107">
        <f t="shared" si="12"/>
        <v>0</v>
      </c>
      <c r="W224" s="16">
        <f>N224+O224-'додаток сесія_2024_2028_161 (2'!O224</f>
        <v>0</v>
      </c>
    </row>
    <row r="225" spans="1:23" ht="42" customHeight="1" x14ac:dyDescent="0.2">
      <c r="A225" s="117"/>
      <c r="B225" s="130"/>
      <c r="C225" s="131" t="s">
        <v>221</v>
      </c>
      <c r="D225" s="114">
        <v>2020</v>
      </c>
      <c r="E225" s="197"/>
      <c r="F225" s="143" t="s">
        <v>13</v>
      </c>
      <c r="G225" s="120">
        <v>0</v>
      </c>
      <c r="H225" s="120">
        <v>0</v>
      </c>
      <c r="I225" s="120">
        <v>0</v>
      </c>
      <c r="J225" s="120">
        <v>0</v>
      </c>
      <c r="K225" s="120">
        <v>2450</v>
      </c>
      <c r="L225" s="120">
        <v>0</v>
      </c>
      <c r="M225" s="120">
        <v>0</v>
      </c>
      <c r="N225" s="15">
        <f t="shared" si="13"/>
        <v>2450</v>
      </c>
      <c r="O225" s="120">
        <v>0</v>
      </c>
      <c r="P225" s="115">
        <v>0</v>
      </c>
      <c r="Q225" s="115">
        <v>0</v>
      </c>
      <c r="R225" s="115">
        <v>0</v>
      </c>
      <c r="S225" s="115">
        <v>0</v>
      </c>
      <c r="T225" s="115">
        <v>0</v>
      </c>
      <c r="U225" s="115">
        <f t="shared" si="16"/>
        <v>2450</v>
      </c>
      <c r="V225" s="107">
        <f t="shared" si="12"/>
        <v>0</v>
      </c>
      <c r="W225" s="16">
        <f>N225+O225-'додаток сесія_2024_2028_161 (2'!O225</f>
        <v>0</v>
      </c>
    </row>
    <row r="226" spans="1:23" ht="49.5" customHeight="1" x14ac:dyDescent="0.2">
      <c r="A226" s="117"/>
      <c r="B226" s="130"/>
      <c r="C226" s="131" t="s">
        <v>222</v>
      </c>
      <c r="D226" s="114">
        <v>2020</v>
      </c>
      <c r="E226" s="197"/>
      <c r="F226" s="143" t="s">
        <v>13</v>
      </c>
      <c r="G226" s="120">
        <v>0</v>
      </c>
      <c r="H226" s="120">
        <v>0</v>
      </c>
      <c r="I226" s="120">
        <v>0</v>
      </c>
      <c r="J226" s="120">
        <v>0</v>
      </c>
      <c r="K226" s="120">
        <v>4500</v>
      </c>
      <c r="L226" s="120">
        <v>0</v>
      </c>
      <c r="M226" s="120">
        <v>0</v>
      </c>
      <c r="N226" s="15">
        <f t="shared" si="13"/>
        <v>4500</v>
      </c>
      <c r="O226" s="120">
        <v>0</v>
      </c>
      <c r="P226" s="115">
        <v>0</v>
      </c>
      <c r="Q226" s="115">
        <v>0</v>
      </c>
      <c r="R226" s="115">
        <v>0</v>
      </c>
      <c r="S226" s="115">
        <v>0</v>
      </c>
      <c r="T226" s="115">
        <v>0</v>
      </c>
      <c r="U226" s="115">
        <f t="shared" si="16"/>
        <v>4500</v>
      </c>
      <c r="V226" s="107">
        <f t="shared" si="12"/>
        <v>0</v>
      </c>
      <c r="W226" s="16">
        <f>N226+O226-'додаток сесія_2024_2028_161 (2'!O226</f>
        <v>0</v>
      </c>
    </row>
    <row r="227" spans="1:23" ht="40.5" customHeight="1" x14ac:dyDescent="0.2">
      <c r="A227" s="117"/>
      <c r="B227" s="133"/>
      <c r="C227" s="134" t="s">
        <v>223</v>
      </c>
      <c r="D227" s="123" t="s">
        <v>109</v>
      </c>
      <c r="E227" s="197"/>
      <c r="F227" s="143" t="s">
        <v>13</v>
      </c>
      <c r="G227" s="120">
        <v>0</v>
      </c>
      <c r="H227" s="120">
        <v>0</v>
      </c>
      <c r="I227" s="120">
        <v>0</v>
      </c>
      <c r="J227" s="120">
        <v>0</v>
      </c>
      <c r="K227" s="120">
        <v>5160</v>
      </c>
      <c r="L227" s="120">
        <v>5000</v>
      </c>
      <c r="M227" s="120">
        <v>0</v>
      </c>
      <c r="N227" s="15">
        <f t="shared" si="13"/>
        <v>10160</v>
      </c>
      <c r="O227" s="120">
        <v>0</v>
      </c>
      <c r="P227" s="115">
        <v>0</v>
      </c>
      <c r="Q227" s="115">
        <v>0</v>
      </c>
      <c r="R227" s="115">
        <v>0</v>
      </c>
      <c r="S227" s="115">
        <v>0</v>
      </c>
      <c r="T227" s="115">
        <v>0</v>
      </c>
      <c r="U227" s="115">
        <f t="shared" si="16"/>
        <v>10160</v>
      </c>
      <c r="V227" s="107">
        <f t="shared" si="12"/>
        <v>0</v>
      </c>
      <c r="W227" s="16">
        <f>N227+O227-'додаток сесія_2024_2028_161 (2'!O227</f>
        <v>0</v>
      </c>
    </row>
    <row r="228" spans="1:23" ht="48" customHeight="1" x14ac:dyDescent="0.2">
      <c r="A228" s="135"/>
      <c r="B228" s="136"/>
      <c r="C228" s="137" t="s">
        <v>224</v>
      </c>
      <c r="D228" s="138" t="s">
        <v>71</v>
      </c>
      <c r="E228" s="197"/>
      <c r="F228" s="143" t="s">
        <v>13</v>
      </c>
      <c r="G228" s="120">
        <v>0</v>
      </c>
      <c r="H228" s="120">
        <v>0</v>
      </c>
      <c r="I228" s="120">
        <v>0</v>
      </c>
      <c r="J228" s="120">
        <v>0</v>
      </c>
      <c r="K228" s="120">
        <v>0</v>
      </c>
      <c r="L228" s="120">
        <v>3150</v>
      </c>
      <c r="M228" s="120">
        <v>3125</v>
      </c>
      <c r="N228" s="15">
        <f t="shared" si="13"/>
        <v>6275</v>
      </c>
      <c r="O228" s="120">
        <v>3125</v>
      </c>
      <c r="P228" s="115">
        <v>0</v>
      </c>
      <c r="Q228" s="115">
        <v>0</v>
      </c>
      <c r="R228" s="115">
        <v>0</v>
      </c>
      <c r="S228" s="115">
        <v>0</v>
      </c>
      <c r="T228" s="115">
        <v>0</v>
      </c>
      <c r="U228" s="115">
        <f t="shared" si="16"/>
        <v>9400</v>
      </c>
      <c r="V228" s="107">
        <f t="shared" si="12"/>
        <v>0</v>
      </c>
      <c r="W228" s="16">
        <f>N228+O228-'додаток сесія_2024_2028_161 (2'!O228</f>
        <v>0</v>
      </c>
    </row>
    <row r="229" spans="1:23" ht="51.75" customHeight="1" x14ac:dyDescent="0.2">
      <c r="A229" s="135"/>
      <c r="B229" s="139"/>
      <c r="C229" s="121" t="s">
        <v>225</v>
      </c>
      <c r="D229" s="140" t="s">
        <v>71</v>
      </c>
      <c r="E229" s="259"/>
      <c r="F229" s="143" t="s">
        <v>13</v>
      </c>
      <c r="G229" s="120">
        <v>0</v>
      </c>
      <c r="H229" s="120">
        <v>0</v>
      </c>
      <c r="I229" s="120">
        <v>0</v>
      </c>
      <c r="J229" s="120">
        <v>0</v>
      </c>
      <c r="K229" s="120">
        <v>0</v>
      </c>
      <c r="L229" s="120">
        <f>5350-5350</f>
        <v>0</v>
      </c>
      <c r="M229" s="120">
        <f>5350-5350</f>
        <v>0</v>
      </c>
      <c r="N229" s="15">
        <f t="shared" si="13"/>
        <v>0</v>
      </c>
      <c r="O229" s="120">
        <f>5350-5350</f>
        <v>0</v>
      </c>
      <c r="P229" s="115">
        <v>0</v>
      </c>
      <c r="Q229" s="115">
        <v>0</v>
      </c>
      <c r="R229" s="115">
        <v>0</v>
      </c>
      <c r="S229" s="115">
        <v>0</v>
      </c>
      <c r="T229" s="115">
        <v>0</v>
      </c>
      <c r="U229" s="115">
        <f t="shared" si="16"/>
        <v>0</v>
      </c>
      <c r="V229" s="107">
        <f t="shared" si="12"/>
        <v>0</v>
      </c>
      <c r="W229" s="16">
        <f>N229+O229-'додаток сесія_2024_2028_161 (2'!O229</f>
        <v>0</v>
      </c>
    </row>
    <row r="230" spans="1:23" ht="40.5" customHeight="1" x14ac:dyDescent="0.2">
      <c r="A230" s="135"/>
      <c r="B230" s="139"/>
      <c r="C230" s="126" t="s">
        <v>226</v>
      </c>
      <c r="D230" s="127" t="s">
        <v>71</v>
      </c>
      <c r="E230" s="197"/>
      <c r="F230" s="143" t="s">
        <v>13</v>
      </c>
      <c r="G230" s="120">
        <v>0</v>
      </c>
      <c r="H230" s="120">
        <v>0</v>
      </c>
      <c r="I230" s="120">
        <v>0</v>
      </c>
      <c r="J230" s="120">
        <v>0</v>
      </c>
      <c r="K230" s="120">
        <v>0</v>
      </c>
      <c r="L230" s="120">
        <v>6500</v>
      </c>
      <c r="M230" s="120">
        <v>750</v>
      </c>
      <c r="N230" s="15">
        <f t="shared" si="13"/>
        <v>7250</v>
      </c>
      <c r="O230" s="120">
        <v>750</v>
      </c>
      <c r="P230" s="115">
        <v>0</v>
      </c>
      <c r="Q230" s="115">
        <v>0</v>
      </c>
      <c r="R230" s="115">
        <v>0</v>
      </c>
      <c r="S230" s="115">
        <v>0</v>
      </c>
      <c r="T230" s="115">
        <v>0</v>
      </c>
      <c r="U230" s="115">
        <f t="shared" si="16"/>
        <v>8000</v>
      </c>
      <c r="V230" s="107">
        <f t="shared" si="12"/>
        <v>0</v>
      </c>
      <c r="W230" s="16">
        <f>N230+O230-'додаток сесія_2024_2028_161 (2'!O230</f>
        <v>0</v>
      </c>
    </row>
    <row r="231" spans="1:23" ht="84" customHeight="1" x14ac:dyDescent="0.2">
      <c r="A231" s="135"/>
      <c r="B231" s="139"/>
      <c r="C231" s="142" t="s">
        <v>227</v>
      </c>
      <c r="D231" s="143">
        <v>2023</v>
      </c>
      <c r="E231" s="197"/>
      <c r="F231" s="143" t="s">
        <v>13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5">
        <f t="shared" si="13"/>
        <v>0</v>
      </c>
      <c r="O231" s="20">
        <f>10623.9-934.29</f>
        <v>9689.61</v>
      </c>
      <c r="P231" s="115">
        <v>0</v>
      </c>
      <c r="Q231" s="115">
        <v>0</v>
      </c>
      <c r="R231" s="115">
        <v>0</v>
      </c>
      <c r="S231" s="115">
        <v>0</v>
      </c>
      <c r="T231" s="115">
        <v>0</v>
      </c>
      <c r="U231" s="115">
        <f t="shared" si="16"/>
        <v>9689.61</v>
      </c>
      <c r="V231" s="107">
        <f t="shared" si="12"/>
        <v>0</v>
      </c>
      <c r="W231" s="16">
        <f>N231+O231-'додаток сесія_2024_2028_161 (2'!O231</f>
        <v>0</v>
      </c>
    </row>
    <row r="232" spans="1:23" ht="43.5" customHeight="1" x14ac:dyDescent="0.2">
      <c r="A232" s="144"/>
      <c r="B232" s="145"/>
      <c r="C232" s="146" t="s">
        <v>228</v>
      </c>
      <c r="D232" s="147">
        <v>2023</v>
      </c>
      <c r="E232" s="484"/>
      <c r="F232" s="293" t="s">
        <v>13</v>
      </c>
      <c r="G232" s="120">
        <v>0</v>
      </c>
      <c r="H232" s="120">
        <v>0</v>
      </c>
      <c r="I232" s="120">
        <v>0</v>
      </c>
      <c r="J232" s="120">
        <v>0</v>
      </c>
      <c r="K232" s="120">
        <v>0</v>
      </c>
      <c r="L232" s="120">
        <v>0</v>
      </c>
      <c r="M232" s="120">
        <v>0</v>
      </c>
      <c r="N232" s="15">
        <f t="shared" si="13"/>
        <v>0</v>
      </c>
      <c r="O232" s="20">
        <v>934.28800000000001</v>
      </c>
      <c r="P232" s="115">
        <v>0</v>
      </c>
      <c r="Q232" s="115">
        <v>0</v>
      </c>
      <c r="R232" s="115">
        <v>0</v>
      </c>
      <c r="S232" s="115">
        <v>0</v>
      </c>
      <c r="T232" s="115">
        <v>0</v>
      </c>
      <c r="U232" s="115">
        <f t="shared" si="16"/>
        <v>934.28800000000001</v>
      </c>
      <c r="V232" s="107">
        <f t="shared" si="12"/>
        <v>0</v>
      </c>
      <c r="W232" s="16">
        <f>N232+O232-'додаток сесія_2024_2028_161 (2'!O232</f>
        <v>0</v>
      </c>
    </row>
    <row r="233" spans="1:23" ht="41.25" customHeight="1" x14ac:dyDescent="0.2">
      <c r="A233" s="569" t="s">
        <v>91</v>
      </c>
      <c r="B233" s="578"/>
      <c r="C233" s="149"/>
      <c r="D233" s="150"/>
      <c r="E233" s="485"/>
      <c r="F233" s="143" t="s">
        <v>13</v>
      </c>
      <c r="G233" s="164">
        <f>SUM(G217:G232)</f>
        <v>0</v>
      </c>
      <c r="H233" s="164">
        <f t="shared" ref="H233:T233" si="17">SUM(H217:H232)</f>
        <v>0</v>
      </c>
      <c r="I233" s="164">
        <f t="shared" si="17"/>
        <v>0</v>
      </c>
      <c r="J233" s="164">
        <f t="shared" si="17"/>
        <v>5551.3</v>
      </c>
      <c r="K233" s="164">
        <f t="shared" si="17"/>
        <v>39506.5</v>
      </c>
      <c r="L233" s="164">
        <f t="shared" si="17"/>
        <v>67510</v>
      </c>
      <c r="M233" s="164">
        <f>SUM(M217:M232)</f>
        <v>59195</v>
      </c>
      <c r="N233" s="164">
        <f>SUM(N217:N232)</f>
        <v>171762.8</v>
      </c>
      <c r="O233" s="164">
        <f t="shared" si="17"/>
        <v>61594.998</v>
      </c>
      <c r="P233" s="164">
        <f t="shared" si="17"/>
        <v>0</v>
      </c>
      <c r="Q233" s="164">
        <f t="shared" si="17"/>
        <v>0</v>
      </c>
      <c r="R233" s="164">
        <f t="shared" si="17"/>
        <v>0</v>
      </c>
      <c r="S233" s="164">
        <f t="shared" si="17"/>
        <v>0</v>
      </c>
      <c r="T233" s="164">
        <f t="shared" si="17"/>
        <v>0</v>
      </c>
      <c r="U233" s="164">
        <f>SUM(G233:T233)-N233</f>
        <v>233357.79800000001</v>
      </c>
      <c r="V233" s="107">
        <f t="shared" si="12"/>
        <v>0</v>
      </c>
      <c r="W233" s="16">
        <f>N233+O233-'додаток сесія_2024_2028_161 (2'!O233</f>
        <v>0</v>
      </c>
    </row>
    <row r="234" spans="1:23" ht="84" customHeight="1" x14ac:dyDescent="0.2">
      <c r="A234" s="492">
        <v>4</v>
      </c>
      <c r="B234" s="491" t="s">
        <v>229</v>
      </c>
      <c r="C234" s="152" t="s">
        <v>386</v>
      </c>
      <c r="D234" s="153">
        <v>2020</v>
      </c>
      <c r="E234" s="486" t="s">
        <v>231</v>
      </c>
      <c r="F234" s="143" t="s">
        <v>13</v>
      </c>
      <c r="G234" s="120">
        <v>0</v>
      </c>
      <c r="H234" s="120">
        <v>0</v>
      </c>
      <c r="I234" s="120">
        <v>0</v>
      </c>
      <c r="J234" s="120">
        <v>0</v>
      </c>
      <c r="K234" s="120">
        <v>167.43</v>
      </c>
      <c r="L234" s="120">
        <v>0</v>
      </c>
      <c r="M234" s="120">
        <v>0</v>
      </c>
      <c r="N234" s="15">
        <f t="shared" si="13"/>
        <v>167.43</v>
      </c>
      <c r="O234" s="120">
        <v>0</v>
      </c>
      <c r="P234" s="115">
        <v>0</v>
      </c>
      <c r="Q234" s="115">
        <v>0</v>
      </c>
      <c r="R234" s="115">
        <v>0</v>
      </c>
      <c r="S234" s="115">
        <v>0</v>
      </c>
      <c r="T234" s="115">
        <v>0</v>
      </c>
      <c r="U234" s="115">
        <f>SUM(G234:T234)-N234</f>
        <v>167.43</v>
      </c>
      <c r="V234" s="107">
        <f t="shared" si="12"/>
        <v>0</v>
      </c>
      <c r="W234" s="16">
        <f>N234+O234-'додаток сесія_2024_2028_161 (2'!O234</f>
        <v>0</v>
      </c>
    </row>
    <row r="235" spans="1:23" ht="82.5" customHeight="1" x14ac:dyDescent="0.2">
      <c r="A235" s="151"/>
      <c r="B235" s="130"/>
      <c r="C235" s="155" t="s">
        <v>232</v>
      </c>
      <c r="D235" s="156" t="s">
        <v>18</v>
      </c>
      <c r="E235" s="487" t="s">
        <v>233</v>
      </c>
      <c r="F235" s="143" t="s">
        <v>13</v>
      </c>
      <c r="G235" s="115">
        <v>199.92</v>
      </c>
      <c r="H235" s="115">
        <v>0</v>
      </c>
      <c r="I235" s="115">
        <v>0</v>
      </c>
      <c r="J235" s="115">
        <v>0</v>
      </c>
      <c r="K235" s="115">
        <v>0</v>
      </c>
      <c r="L235" s="115">
        <v>0</v>
      </c>
      <c r="M235" s="115">
        <v>0</v>
      </c>
      <c r="N235" s="15">
        <f t="shared" si="13"/>
        <v>199.92</v>
      </c>
      <c r="O235" s="115">
        <v>0</v>
      </c>
      <c r="P235" s="115">
        <v>0</v>
      </c>
      <c r="Q235" s="115">
        <v>0</v>
      </c>
      <c r="R235" s="115">
        <v>0</v>
      </c>
      <c r="S235" s="115">
        <v>0</v>
      </c>
      <c r="T235" s="115">
        <v>0</v>
      </c>
      <c r="U235" s="115">
        <f t="shared" ref="U235:U237" si="18">SUM(G235:T235)-N235</f>
        <v>199.92</v>
      </c>
      <c r="V235" s="107">
        <f t="shared" si="12"/>
        <v>0</v>
      </c>
      <c r="W235" s="16">
        <f>N235+O235-'додаток сесія_2024_2028_161 (2'!O235</f>
        <v>0</v>
      </c>
    </row>
    <row r="236" spans="1:23" ht="76.5" customHeight="1" x14ac:dyDescent="0.2">
      <c r="A236" s="157"/>
      <c r="B236" s="158"/>
      <c r="C236" s="159" t="s">
        <v>234</v>
      </c>
      <c r="D236" s="160">
        <v>2021</v>
      </c>
      <c r="E236" s="487" t="s">
        <v>231</v>
      </c>
      <c r="F236" s="143" t="s">
        <v>13</v>
      </c>
      <c r="G236" s="120">
        <v>0</v>
      </c>
      <c r="H236" s="120">
        <v>0</v>
      </c>
      <c r="I236" s="120">
        <v>0</v>
      </c>
      <c r="J236" s="120">
        <v>0</v>
      </c>
      <c r="K236" s="120">
        <v>0</v>
      </c>
      <c r="L236" s="120">
        <v>485.1</v>
      </c>
      <c r="M236" s="120">
        <v>0</v>
      </c>
      <c r="N236" s="15">
        <f t="shared" si="13"/>
        <v>485.1</v>
      </c>
      <c r="O236" s="120">
        <v>0</v>
      </c>
      <c r="P236" s="115">
        <v>0</v>
      </c>
      <c r="Q236" s="115">
        <v>0</v>
      </c>
      <c r="R236" s="115">
        <v>0</v>
      </c>
      <c r="S236" s="115">
        <v>0</v>
      </c>
      <c r="T236" s="115">
        <v>0</v>
      </c>
      <c r="U236" s="115">
        <f t="shared" si="18"/>
        <v>485.1</v>
      </c>
      <c r="V236" s="107">
        <f t="shared" si="12"/>
        <v>0</v>
      </c>
      <c r="W236" s="16">
        <f>N236+O236-'додаток сесія_2024_2028_161 (2'!O236</f>
        <v>0</v>
      </c>
    </row>
    <row r="237" spans="1:23" ht="77.25" customHeight="1" x14ac:dyDescent="0.2">
      <c r="A237" s="162"/>
      <c r="B237" s="163"/>
      <c r="C237" s="159" t="s">
        <v>235</v>
      </c>
      <c r="D237" s="160">
        <v>2022</v>
      </c>
      <c r="E237" s="487" t="s">
        <v>231</v>
      </c>
      <c r="F237" s="143" t="s">
        <v>13</v>
      </c>
      <c r="G237" s="120">
        <v>0</v>
      </c>
      <c r="H237" s="120">
        <v>0</v>
      </c>
      <c r="I237" s="120">
        <v>0</v>
      </c>
      <c r="J237" s="120">
        <v>0</v>
      </c>
      <c r="K237" s="120">
        <v>0</v>
      </c>
      <c r="L237" s="120">
        <v>0</v>
      </c>
      <c r="M237" s="120">
        <v>488.9</v>
      </c>
      <c r="N237" s="15">
        <f t="shared" si="13"/>
        <v>488.9</v>
      </c>
      <c r="O237" s="120">
        <v>0</v>
      </c>
      <c r="P237" s="115">
        <v>0</v>
      </c>
      <c r="Q237" s="115">
        <v>0</v>
      </c>
      <c r="R237" s="115">
        <v>0</v>
      </c>
      <c r="S237" s="115">
        <v>0</v>
      </c>
      <c r="T237" s="115">
        <v>0</v>
      </c>
      <c r="U237" s="115">
        <f t="shared" si="18"/>
        <v>488.9</v>
      </c>
      <c r="V237" s="107">
        <f t="shared" si="12"/>
        <v>0</v>
      </c>
      <c r="W237" s="16">
        <f>N237+O237-'додаток сесія_2024_2028_161 (2'!O237</f>
        <v>0</v>
      </c>
    </row>
    <row r="238" spans="1:23" ht="40.5" customHeight="1" x14ac:dyDescent="0.2">
      <c r="A238" s="605" t="s">
        <v>91</v>
      </c>
      <c r="B238" s="605"/>
      <c r="C238" s="606"/>
      <c r="D238" s="606"/>
      <c r="E238" s="607"/>
      <c r="F238" s="143" t="s">
        <v>13</v>
      </c>
      <c r="G238" s="164">
        <f>SUM(G234:G237)</f>
        <v>199.92</v>
      </c>
      <c r="H238" s="164">
        <f t="shared" ref="H238:T238" si="19">SUM(H234:H237)</f>
        <v>0</v>
      </c>
      <c r="I238" s="164">
        <f t="shared" si="19"/>
        <v>0</v>
      </c>
      <c r="J238" s="164">
        <f t="shared" si="19"/>
        <v>0</v>
      </c>
      <c r="K238" s="164">
        <f t="shared" si="19"/>
        <v>167.43</v>
      </c>
      <c r="L238" s="164">
        <f t="shared" si="19"/>
        <v>485.1</v>
      </c>
      <c r="M238" s="164">
        <f t="shared" si="19"/>
        <v>488.9</v>
      </c>
      <c r="N238" s="164">
        <f t="shared" si="19"/>
        <v>1341.35</v>
      </c>
      <c r="O238" s="164">
        <f t="shared" si="19"/>
        <v>0</v>
      </c>
      <c r="P238" s="164">
        <f t="shared" si="19"/>
        <v>0</v>
      </c>
      <c r="Q238" s="164">
        <f t="shared" si="19"/>
        <v>0</v>
      </c>
      <c r="R238" s="164">
        <f t="shared" si="19"/>
        <v>0</v>
      </c>
      <c r="S238" s="164">
        <f t="shared" si="19"/>
        <v>0</v>
      </c>
      <c r="T238" s="164">
        <f t="shared" si="19"/>
        <v>0</v>
      </c>
      <c r="U238" s="164">
        <f>SUM(G238:T238)-N238</f>
        <v>1341.35</v>
      </c>
      <c r="V238" s="107">
        <f t="shared" si="12"/>
        <v>0</v>
      </c>
      <c r="W238" s="16">
        <f>N238+O238-'додаток сесія_2024_2028_161 (2'!O238</f>
        <v>0</v>
      </c>
    </row>
    <row r="239" spans="1:23" ht="78.75" customHeight="1" x14ac:dyDescent="0.2">
      <c r="A239" s="165">
        <v>5</v>
      </c>
      <c r="B239" s="166" t="s">
        <v>236</v>
      </c>
      <c r="C239" s="167" t="s">
        <v>429</v>
      </c>
      <c r="D239" s="168" t="s">
        <v>238</v>
      </c>
      <c r="E239" s="488" t="s">
        <v>231</v>
      </c>
      <c r="F239" s="143" t="s">
        <v>13</v>
      </c>
      <c r="G239" s="115">
        <v>0</v>
      </c>
      <c r="H239" s="115">
        <v>300</v>
      </c>
      <c r="I239" s="115">
        <v>0</v>
      </c>
      <c r="J239" s="115">
        <v>0</v>
      </c>
      <c r="K239" s="115">
        <v>0</v>
      </c>
      <c r="L239" s="115">
        <v>1469</v>
      </c>
      <c r="M239" s="115">
        <v>0</v>
      </c>
      <c r="N239" s="15">
        <f t="shared" si="13"/>
        <v>1769</v>
      </c>
      <c r="O239" s="115">
        <v>0</v>
      </c>
      <c r="P239" s="115">
        <v>0</v>
      </c>
      <c r="Q239" s="115">
        <v>0</v>
      </c>
      <c r="R239" s="115">
        <v>0</v>
      </c>
      <c r="S239" s="115">
        <v>0</v>
      </c>
      <c r="T239" s="115">
        <v>0</v>
      </c>
      <c r="U239" s="115">
        <f>SUM(G239:T239)-N239</f>
        <v>1769</v>
      </c>
      <c r="V239" s="107">
        <f t="shared" si="12"/>
        <v>0</v>
      </c>
      <c r="W239" s="16">
        <f>N239+O239-'додаток сесія_2024_2028_161 (2'!O239</f>
        <v>0</v>
      </c>
    </row>
    <row r="240" spans="1:23" ht="41.25" customHeight="1" x14ac:dyDescent="0.2">
      <c r="A240" s="170"/>
      <c r="B240" s="171"/>
      <c r="C240" s="172" t="s">
        <v>430</v>
      </c>
      <c r="D240" s="173" t="s">
        <v>73</v>
      </c>
      <c r="E240" s="595" t="s">
        <v>231</v>
      </c>
      <c r="F240" s="143" t="s">
        <v>13</v>
      </c>
      <c r="G240" s="115">
        <v>0</v>
      </c>
      <c r="H240" s="115">
        <v>0</v>
      </c>
      <c r="I240" s="115">
        <v>0</v>
      </c>
      <c r="J240" s="115">
        <v>0</v>
      </c>
      <c r="K240" s="115">
        <v>0</v>
      </c>
      <c r="L240" s="115">
        <v>31</v>
      </c>
      <c r="M240" s="115">
        <v>0</v>
      </c>
      <c r="N240" s="15">
        <f t="shared" si="13"/>
        <v>31</v>
      </c>
      <c r="O240" s="115">
        <v>0</v>
      </c>
      <c r="P240" s="115">
        <v>50</v>
      </c>
      <c r="Q240" s="115">
        <v>55</v>
      </c>
      <c r="R240" s="115">
        <v>61</v>
      </c>
      <c r="S240" s="115">
        <v>67</v>
      </c>
      <c r="T240" s="115">
        <v>75</v>
      </c>
      <c r="U240" s="115">
        <f t="shared" ref="U240:U241" si="20">SUM(G240:T240)-N240</f>
        <v>339</v>
      </c>
      <c r="V240" s="107">
        <f t="shared" si="12"/>
        <v>0</v>
      </c>
      <c r="W240" s="16">
        <f>N240+O240-'додаток сесія_2024_2028_161 (2'!O240</f>
        <v>0</v>
      </c>
    </row>
    <row r="241" spans="1:23" ht="52.5" customHeight="1" x14ac:dyDescent="0.2">
      <c r="A241" s="170"/>
      <c r="B241" s="171"/>
      <c r="C241" s="174" t="s">
        <v>240</v>
      </c>
      <c r="D241" s="160" t="s">
        <v>88</v>
      </c>
      <c r="E241" s="596"/>
      <c r="F241" s="143" t="s">
        <v>13</v>
      </c>
      <c r="G241" s="115">
        <v>0</v>
      </c>
      <c r="H241" s="115">
        <v>0</v>
      </c>
      <c r="I241" s="115">
        <v>0</v>
      </c>
      <c r="J241" s="115">
        <v>0</v>
      </c>
      <c r="K241" s="115">
        <v>0</v>
      </c>
      <c r="L241" s="115">
        <v>0</v>
      </c>
      <c r="M241" s="115">
        <v>0</v>
      </c>
      <c r="N241" s="15">
        <f t="shared" si="13"/>
        <v>0</v>
      </c>
      <c r="O241" s="115">
        <v>0</v>
      </c>
      <c r="P241" s="115">
        <v>35</v>
      </c>
      <c r="Q241" s="115">
        <v>40</v>
      </c>
      <c r="R241" s="115">
        <v>45</v>
      </c>
      <c r="S241" s="115">
        <v>50</v>
      </c>
      <c r="T241" s="115">
        <v>55</v>
      </c>
      <c r="U241" s="115">
        <f t="shared" si="20"/>
        <v>225</v>
      </c>
      <c r="V241" s="107">
        <f t="shared" si="12"/>
        <v>0</v>
      </c>
      <c r="W241" s="16">
        <f>N241+O241-'додаток сесія_2024_2028_161 (2'!O241</f>
        <v>0</v>
      </c>
    </row>
    <row r="242" spans="1:23" ht="41.25" customHeight="1" x14ac:dyDescent="0.2">
      <c r="A242" s="597" t="s">
        <v>91</v>
      </c>
      <c r="B242" s="597"/>
      <c r="C242" s="598"/>
      <c r="D242" s="598"/>
      <c r="E242" s="599"/>
      <c r="F242" s="143" t="s">
        <v>13</v>
      </c>
      <c r="G242" s="175">
        <f>G239+G240+G241</f>
        <v>0</v>
      </c>
      <c r="H242" s="175">
        <f t="shared" ref="H242:T242" si="21">H239+H240+H241</f>
        <v>300</v>
      </c>
      <c r="I242" s="175">
        <f t="shared" si="21"/>
        <v>0</v>
      </c>
      <c r="J242" s="175">
        <f t="shared" si="21"/>
        <v>0</v>
      </c>
      <c r="K242" s="175">
        <f t="shared" si="21"/>
        <v>0</v>
      </c>
      <c r="L242" s="175">
        <f t="shared" si="21"/>
        <v>1500</v>
      </c>
      <c r="M242" s="175">
        <f t="shared" si="21"/>
        <v>0</v>
      </c>
      <c r="N242" s="175">
        <f t="shared" si="13"/>
        <v>1800</v>
      </c>
      <c r="O242" s="175">
        <f t="shared" si="21"/>
        <v>0</v>
      </c>
      <c r="P242" s="175">
        <f t="shared" si="21"/>
        <v>85</v>
      </c>
      <c r="Q242" s="175">
        <f t="shared" si="21"/>
        <v>95</v>
      </c>
      <c r="R242" s="175">
        <f t="shared" si="21"/>
        <v>106</v>
      </c>
      <c r="S242" s="175">
        <f t="shared" si="21"/>
        <v>117</v>
      </c>
      <c r="T242" s="175">
        <f t="shared" si="21"/>
        <v>130</v>
      </c>
      <c r="U242" s="175">
        <f>SUM(G242:T242)-N242</f>
        <v>2333</v>
      </c>
      <c r="V242" s="107">
        <f t="shared" si="12"/>
        <v>0</v>
      </c>
      <c r="W242" s="16">
        <f>N242+O242-'додаток сесія_2024_2028_161 (2'!O242</f>
        <v>0</v>
      </c>
    </row>
    <row r="243" spans="1:23" ht="46.5" customHeight="1" x14ac:dyDescent="0.2">
      <c r="A243" s="585" t="s">
        <v>241</v>
      </c>
      <c r="B243" s="585"/>
      <c r="C243" s="176"/>
      <c r="D243" s="177"/>
      <c r="E243" s="464"/>
      <c r="F243" s="143" t="s">
        <v>13</v>
      </c>
      <c r="G243" s="179">
        <f t="shared" ref="G243:T243" si="22">G238+G79+G216+G233+G242</f>
        <v>254461.71999999997</v>
      </c>
      <c r="H243" s="179">
        <f t="shared" si="22"/>
        <v>419562.19999999995</v>
      </c>
      <c r="I243" s="179">
        <f t="shared" si="22"/>
        <v>461134.5</v>
      </c>
      <c r="J243" s="179">
        <f t="shared" si="22"/>
        <v>614158.40000000014</v>
      </c>
      <c r="K243" s="179">
        <f t="shared" si="22"/>
        <v>910764.79</v>
      </c>
      <c r="L243" s="179">
        <f t="shared" si="22"/>
        <v>2006163.4</v>
      </c>
      <c r="M243" s="179">
        <f t="shared" si="22"/>
        <v>2130497.2000000002</v>
      </c>
      <c r="N243" s="179">
        <f t="shared" si="22"/>
        <v>6796742.21</v>
      </c>
      <c r="O243" s="179">
        <f t="shared" si="22"/>
        <v>2120341.898</v>
      </c>
      <c r="P243" s="179">
        <f t="shared" si="22"/>
        <v>1849038.28614</v>
      </c>
      <c r="Q243" s="179">
        <f t="shared" si="22"/>
        <v>2907043.7037400003</v>
      </c>
      <c r="R243" s="179">
        <f t="shared" si="22"/>
        <v>2684521.9948199997</v>
      </c>
      <c r="S243" s="179">
        <f t="shared" si="22"/>
        <v>2950088.7464736402</v>
      </c>
      <c r="T243" s="179">
        <f t="shared" si="22"/>
        <v>3282699.7496440914</v>
      </c>
      <c r="U243" s="179">
        <f>SUM(G243:T243)-N243</f>
        <v>22590476.588817731</v>
      </c>
      <c r="V243" s="107">
        <f t="shared" si="12"/>
        <v>0</v>
      </c>
      <c r="W243" s="16">
        <f>N243+O243-'додаток сесія_2024_2028_161 (2'!O243</f>
        <v>0</v>
      </c>
    </row>
    <row r="244" spans="1:23" ht="48.75" customHeight="1" x14ac:dyDescent="0.2">
      <c r="A244" s="180"/>
      <c r="B244" s="603" t="s">
        <v>437</v>
      </c>
      <c r="C244" s="603"/>
      <c r="D244" s="603"/>
      <c r="E244" s="603"/>
      <c r="F244" s="603"/>
      <c r="G244" s="603"/>
      <c r="H244" s="603"/>
      <c r="I244" s="603"/>
      <c r="J244" s="603"/>
      <c r="K244" s="603"/>
      <c r="L244" s="603"/>
      <c r="M244" s="603"/>
      <c r="N244" s="603"/>
      <c r="O244" s="603"/>
      <c r="P244" s="603"/>
      <c r="Q244" s="603"/>
      <c r="R244" s="603"/>
      <c r="S244" s="603"/>
      <c r="T244" s="603"/>
      <c r="U244" s="603"/>
      <c r="V244" s="107" t="e">
        <f>SUM(V12:V243)</f>
        <v>#REF!</v>
      </c>
      <c r="W244" s="16"/>
    </row>
    <row r="245" spans="1:23" ht="63" customHeight="1" x14ac:dyDescent="0.25">
      <c r="B245" s="187" t="s">
        <v>124</v>
      </c>
      <c r="D245" s="187"/>
      <c r="E245" s="187"/>
      <c r="W245" s="16"/>
    </row>
    <row r="246" spans="1:23" s="17" customFormat="1" ht="27" x14ac:dyDescent="0.35">
      <c r="B246" s="604" t="s">
        <v>361</v>
      </c>
      <c r="C246" s="604"/>
      <c r="D246" s="604"/>
      <c r="E246" s="604"/>
      <c r="F246" s="604"/>
      <c r="G246" s="604"/>
      <c r="H246" s="604"/>
      <c r="I246" s="604"/>
      <c r="J246" s="604"/>
      <c r="K246" s="604"/>
      <c r="N246" s="322" t="s">
        <v>362</v>
      </c>
      <c r="W246" s="16"/>
    </row>
    <row r="247" spans="1:23" s="17" customFormat="1" x14ac:dyDescent="0.2">
      <c r="C247" s="188"/>
      <c r="W247" s="16"/>
    </row>
    <row r="248" spans="1:23" x14ac:dyDescent="0.2">
      <c r="W248" s="16"/>
    </row>
    <row r="249" spans="1:23" x14ac:dyDescent="0.2">
      <c r="W249" s="16"/>
    </row>
    <row r="250" spans="1:23" x14ac:dyDescent="0.2">
      <c r="W250" s="16"/>
    </row>
    <row r="251" spans="1:23" x14ac:dyDescent="0.2">
      <c r="G251" s="107">
        <f>G243-'[1]додаток сесія_1901_решение'!G246</f>
        <v>0</v>
      </c>
      <c r="H251" s="107">
        <f>H243-'[1]додаток сесія_1901_решение'!H246</f>
        <v>0</v>
      </c>
      <c r="I251" s="107">
        <f>I243-'[1]додаток сесія_1901_решение'!I246</f>
        <v>0</v>
      </c>
      <c r="J251" s="107">
        <f>J243-'[1]додаток сесія_1901_решение'!J246</f>
        <v>0</v>
      </c>
      <c r="K251" s="107">
        <f>K243-'[1]додаток сесія_1901_решение'!K246</f>
        <v>0</v>
      </c>
      <c r="L251" s="107">
        <f>L243-'[1]додаток сесія_1901_решение'!L246</f>
        <v>0</v>
      </c>
      <c r="M251" s="107">
        <f>M243-'[1]додаток сесія_1901_решение'!M246</f>
        <v>0</v>
      </c>
      <c r="N251" s="107"/>
      <c r="O251" s="107">
        <f>O243-'[1]додаток сесія_1901_решение'!N246</f>
        <v>-1.999999862164259E-3</v>
      </c>
      <c r="P251" s="107"/>
      <c r="Q251" s="107"/>
      <c r="R251" s="107"/>
      <c r="S251" s="107"/>
      <c r="T251" s="107"/>
      <c r="U251" s="107">
        <f>U243-'[1]додаток сесія_1901_решение'!O246</f>
        <v>13673392.478817729</v>
      </c>
      <c r="V251" s="107">
        <f>P243+Q243+R243+S243+T243</f>
        <v>13673392.480817731</v>
      </c>
      <c r="W251" s="16"/>
    </row>
    <row r="252" spans="1:23" x14ac:dyDescent="0.2">
      <c r="G252" s="107">
        <f>G216-'[1]додаток сесія_1901_решение'!G212</f>
        <v>0</v>
      </c>
      <c r="H252" s="107">
        <f>H216-'[1]додаток сесія_1901_решение'!H212</f>
        <v>0</v>
      </c>
      <c r="I252" s="107">
        <f>I216-'[1]додаток сесія_1901_решение'!I212</f>
        <v>0</v>
      </c>
      <c r="J252" s="107">
        <f>J216-'[1]додаток сесія_1901_решение'!J212</f>
        <v>0</v>
      </c>
      <c r="K252" s="107">
        <f>K216-'[1]додаток сесія_1901_решение'!K212</f>
        <v>0</v>
      </c>
      <c r="L252" s="107">
        <f>L216-'[1]додаток сесія_1901_решение'!L212</f>
        <v>0</v>
      </c>
      <c r="M252" s="107">
        <f>M216-'[1]додаток сесія_1901_решение'!M212</f>
        <v>0</v>
      </c>
      <c r="N252" s="107"/>
      <c r="O252" s="107">
        <f>O216-'[1]додаток сесія_1901_решение'!N212</f>
        <v>0</v>
      </c>
      <c r="P252" s="107"/>
      <c r="Q252" s="107"/>
      <c r="R252" s="107"/>
      <c r="S252" s="107"/>
      <c r="T252" s="107"/>
      <c r="U252" s="107">
        <f>U216-'[1]додаток сесія_1901_решение'!O212</f>
        <v>6250225.7986877356</v>
      </c>
      <c r="V252" s="107">
        <f>U243-V251</f>
        <v>8917084.1079999991</v>
      </c>
      <c r="W252" s="16"/>
    </row>
    <row r="253" spans="1:23" x14ac:dyDescent="0.2">
      <c r="G253" s="107">
        <f>G79-'[1]додаток сесія_1901_решение'!G88</f>
        <v>0</v>
      </c>
      <c r="H253" s="107">
        <f>H79-'[1]додаток сесія_1901_решение'!H88</f>
        <v>0</v>
      </c>
      <c r="I253" s="107">
        <f>I79-'[1]додаток сесія_1901_решение'!I88</f>
        <v>0</v>
      </c>
      <c r="J253" s="107">
        <f>J79-'[1]додаток сесія_1901_решение'!J88</f>
        <v>0</v>
      </c>
      <c r="K253" s="107">
        <f>K79-'[1]додаток сесія_1901_решение'!K88</f>
        <v>0</v>
      </c>
      <c r="L253" s="107">
        <f>L79-'[1]додаток сесія_1901_решение'!L88</f>
        <v>0</v>
      </c>
      <c r="M253" s="107">
        <f>M79-'[1]додаток сесія_1901_решение'!M88</f>
        <v>0</v>
      </c>
      <c r="N253" s="107"/>
      <c r="O253" s="107">
        <f>O79-'[1]додаток сесія_1901_решение'!N88</f>
        <v>0</v>
      </c>
      <c r="P253" s="107"/>
      <c r="Q253" s="107"/>
      <c r="R253" s="107"/>
      <c r="S253" s="107"/>
      <c r="T253" s="107"/>
      <c r="U253" s="107">
        <f>U79-'[1]додаток сесія_1901_решение'!O88</f>
        <v>7422633.6821300006</v>
      </c>
      <c r="W253" s="16"/>
    </row>
    <row r="254" spans="1:23" x14ac:dyDescent="0.2">
      <c r="G254" s="107">
        <f>G79-'[1]додаток сесія_1901_решение'!G88</f>
        <v>0</v>
      </c>
      <c r="H254" s="107">
        <f>H79-'[1]додаток сесія_1901_решение'!H88</f>
        <v>0</v>
      </c>
      <c r="I254" s="107">
        <f>I79-'[1]додаток сесія_1901_решение'!I88</f>
        <v>0</v>
      </c>
      <c r="J254" s="107">
        <f>J79-'[1]додаток сесія_1901_решение'!J88</f>
        <v>0</v>
      </c>
      <c r="K254" s="107">
        <f>K79-'[1]додаток сесія_1901_решение'!K88</f>
        <v>0</v>
      </c>
      <c r="L254" s="107">
        <f>L79-'[1]додаток сесія_1901_решение'!L88</f>
        <v>0</v>
      </c>
      <c r="M254" s="107">
        <f>M79-'[1]додаток сесія_1901_решение'!M88</f>
        <v>0</v>
      </c>
      <c r="N254" s="107"/>
      <c r="O254" s="107">
        <f>O79-'[1]додаток сесія_1901_решение'!N88</f>
        <v>0</v>
      </c>
      <c r="P254" s="107"/>
      <c r="Q254" s="107"/>
      <c r="R254" s="107"/>
      <c r="S254" s="107"/>
      <c r="T254" s="107"/>
      <c r="U254" s="107">
        <f>U79-'[1]додаток сесія_1901_решение'!O88</f>
        <v>7422633.6821300006</v>
      </c>
      <c r="W254" s="16"/>
    </row>
    <row r="255" spans="1:23" x14ac:dyDescent="0.2">
      <c r="G255" s="107">
        <f>G216-'[1]додаток сесія_1901_решение'!G212</f>
        <v>0</v>
      </c>
      <c r="H255" s="107">
        <f>H216-'[1]додаток сесія_1901_решение'!H212</f>
        <v>0</v>
      </c>
      <c r="I255" s="107">
        <f>I216-'[1]додаток сесія_1901_решение'!I212</f>
        <v>0</v>
      </c>
      <c r="J255" s="107">
        <f>J216-'[1]додаток сесія_1901_решение'!J212</f>
        <v>0</v>
      </c>
      <c r="K255" s="107">
        <f>K216-'[1]додаток сесія_1901_решение'!K212</f>
        <v>0</v>
      </c>
      <c r="L255" s="107">
        <f>L216-'[1]додаток сесія_1901_решение'!L212</f>
        <v>0</v>
      </c>
      <c r="M255" s="107">
        <f>M216-'[1]додаток сесія_1901_решение'!M212</f>
        <v>0</v>
      </c>
      <c r="N255" s="107"/>
      <c r="O255" s="107">
        <f>O216-'[1]додаток сесія_1901_решение'!N212</f>
        <v>0</v>
      </c>
      <c r="P255" s="107"/>
      <c r="Q255" s="107"/>
      <c r="R255" s="107"/>
      <c r="S255" s="107"/>
      <c r="T255" s="107"/>
      <c r="U255" s="107">
        <f>U216-'[1]додаток сесія_1901_решение'!O212</f>
        <v>6250225.7986877356</v>
      </c>
      <c r="W255" s="16"/>
    </row>
    <row r="256" spans="1:23" x14ac:dyDescent="0.2">
      <c r="G256" s="107">
        <f>G233-'[1]додаток сесія_1901_решение'!G234</f>
        <v>0</v>
      </c>
      <c r="H256" s="107">
        <f>H233-'[1]додаток сесія_1901_решение'!H234</f>
        <v>0</v>
      </c>
      <c r="I256" s="107">
        <f>I233-'[1]додаток сесія_1901_решение'!I234</f>
        <v>0</v>
      </c>
      <c r="J256" s="107">
        <f>J233-'[1]додаток сесія_1901_решение'!J234</f>
        <v>0</v>
      </c>
      <c r="K256" s="107">
        <f>K233-'[1]додаток сесія_1901_решение'!K234</f>
        <v>0</v>
      </c>
      <c r="L256" s="107">
        <f>L233-'[1]додаток сесія_1901_решение'!L234</f>
        <v>0</v>
      </c>
      <c r="M256" s="107">
        <f>M233-'[1]додаток сесія_1901_решение'!M234</f>
        <v>0</v>
      </c>
      <c r="N256" s="107"/>
      <c r="O256" s="107">
        <f>O233-'[1]додаток сесія_1901_решение'!N234</f>
        <v>-2.0000000004074536E-3</v>
      </c>
      <c r="P256" s="107"/>
      <c r="Q256" s="107"/>
      <c r="R256" s="107"/>
      <c r="S256" s="107"/>
      <c r="T256" s="107"/>
      <c r="U256" s="107">
        <f>U233-'[1]додаток сесія_1901_решение'!O234</f>
        <v>-1.9999999785795808E-3</v>
      </c>
      <c r="W256" s="16"/>
    </row>
    <row r="257" spans="7:23" x14ac:dyDescent="0.2">
      <c r="W257" s="16"/>
    </row>
    <row r="258" spans="7:23" x14ac:dyDescent="0.2">
      <c r="G258" s="107">
        <f>G79-'[1]додаток сесія_актуальна'!G91</f>
        <v>0</v>
      </c>
      <c r="H258" s="107">
        <f>H79-'[1]додаток сесія_актуальна'!H91</f>
        <v>0</v>
      </c>
      <c r="I258" s="107">
        <f>I79-'[1]додаток сесія_актуальна'!I91</f>
        <v>0</v>
      </c>
      <c r="J258" s="107">
        <f>J79-'[1]додаток сесія_актуальна'!J91</f>
        <v>0</v>
      </c>
      <c r="K258" s="107">
        <f>K79-'[1]додаток сесія_актуальна'!K91</f>
        <v>0</v>
      </c>
      <c r="L258" s="107">
        <f>L79-'[1]додаток сесія_актуальна'!L91</f>
        <v>0</v>
      </c>
      <c r="M258" s="107">
        <f>M79-'[1]додаток сесія_актуальна'!M91</f>
        <v>0</v>
      </c>
      <c r="N258" s="107"/>
      <c r="O258" s="107">
        <f>O79-'[1]додаток сесія_актуальна'!N91</f>
        <v>0</v>
      </c>
      <c r="P258" s="107"/>
      <c r="Q258" s="107"/>
      <c r="R258" s="107"/>
      <c r="S258" s="107"/>
      <c r="T258" s="107"/>
      <c r="U258" s="107">
        <f>U79-'[1]додаток сесія_актуальна'!O91</f>
        <v>7422633.6821300006</v>
      </c>
      <c r="W258" s="16"/>
    </row>
    <row r="259" spans="7:23" x14ac:dyDescent="0.2">
      <c r="G259" s="107">
        <f>G216-'[1]додаток сесія_актуальна'!G219</f>
        <v>0</v>
      </c>
      <c r="H259" s="107">
        <f>H216-'[1]додаток сесія_актуальна'!H219</f>
        <v>0</v>
      </c>
      <c r="I259" s="107">
        <f>I216-'[1]додаток сесія_актуальна'!I219</f>
        <v>0</v>
      </c>
      <c r="J259" s="107">
        <f>J216-'[1]додаток сесія_актуальна'!J219</f>
        <v>0</v>
      </c>
      <c r="K259" s="107">
        <f>K216-'[1]додаток сесія_актуальна'!K219</f>
        <v>0</v>
      </c>
      <c r="L259" s="107">
        <f>L216-'[1]додаток сесія_актуальна'!L219</f>
        <v>0</v>
      </c>
      <c r="M259" s="107">
        <f>M216-'[1]додаток сесія_актуальна'!M219</f>
        <v>0</v>
      </c>
      <c r="N259" s="107"/>
      <c r="O259" s="107">
        <f>O216-'[1]додаток сесія_актуальна'!N219</f>
        <v>0</v>
      </c>
      <c r="P259" s="107"/>
      <c r="Q259" s="107"/>
      <c r="R259" s="107"/>
      <c r="S259" s="107"/>
      <c r="T259" s="107"/>
      <c r="U259" s="107">
        <f>U216-'[1]додаток сесія_актуальна'!O219</f>
        <v>6250225.7986877356</v>
      </c>
      <c r="W259" s="16"/>
    </row>
    <row r="260" spans="7:23" x14ac:dyDescent="0.2">
      <c r="W260" s="16"/>
    </row>
    <row r="261" spans="7:23" x14ac:dyDescent="0.2">
      <c r="G261" s="107">
        <f>G243-'[1]додаток сесія_актуальна'!G254</f>
        <v>0</v>
      </c>
      <c r="H261" s="107">
        <f>H243-'[1]додаток сесія_актуальна'!H254</f>
        <v>0</v>
      </c>
      <c r="I261" s="107">
        <f>I243-'[1]додаток сесія_актуальна'!I254</f>
        <v>0</v>
      </c>
      <c r="J261" s="107">
        <f>J243-'[1]додаток сесія_актуальна'!J254</f>
        <v>0</v>
      </c>
      <c r="K261" s="107">
        <f>K243-'[1]додаток сесія_актуальна'!K254</f>
        <v>0</v>
      </c>
      <c r="L261" s="107">
        <f>L243-'[1]додаток сесія_актуальна'!L254</f>
        <v>0</v>
      </c>
      <c r="M261" s="107">
        <f>M243-'[1]додаток сесія_актуальна'!M254</f>
        <v>0</v>
      </c>
      <c r="N261" s="107"/>
      <c r="O261" s="107">
        <f>O243-'[1]додаток сесія_актуальна'!N254</f>
        <v>0</v>
      </c>
      <c r="P261" s="107"/>
      <c r="Q261" s="107"/>
      <c r="R261" s="107"/>
      <c r="S261" s="107"/>
      <c r="T261" s="107"/>
      <c r="U261" s="107">
        <f>G243+H243+I243+J243+K243+L243+M243+O243-'[1]додаток сесія_актуальна'!O254</f>
        <v>0</v>
      </c>
    </row>
    <row r="263" spans="7:23" x14ac:dyDescent="0.2">
      <c r="G263" s="107">
        <f t="shared" ref="G263:M263" si="23">SUM(G12:G242)-G39-G79-G216-G233-G238-G242</f>
        <v>254461.71999999994</v>
      </c>
      <c r="H263" s="107">
        <f t="shared" si="23"/>
        <v>419562.19999999995</v>
      </c>
      <c r="I263" s="107">
        <f t="shared" si="23"/>
        <v>461134.5</v>
      </c>
      <c r="J263" s="107">
        <f t="shared" si="23"/>
        <v>614158.4</v>
      </c>
      <c r="K263" s="107">
        <f t="shared" si="23"/>
        <v>910764.79</v>
      </c>
      <c r="L263" s="107">
        <f t="shared" si="23"/>
        <v>2006163.3999999997</v>
      </c>
      <c r="M263" s="107">
        <f t="shared" si="23"/>
        <v>2130497.2000000007</v>
      </c>
      <c r="N263" s="107"/>
      <c r="O263" s="107">
        <f t="shared" ref="O263:U263" si="24">SUM(O12:O242)-O39-O79-O216-O233-O238-O242</f>
        <v>2120341.8979999986</v>
      </c>
      <c r="P263" s="107">
        <f t="shared" si="24"/>
        <v>1849038.2861400002</v>
      </c>
      <c r="Q263" s="107">
        <f t="shared" si="24"/>
        <v>2907043.7037399998</v>
      </c>
      <c r="R263" s="107">
        <f t="shared" si="24"/>
        <v>2684521.9948200006</v>
      </c>
      <c r="S263" s="107">
        <f t="shared" si="24"/>
        <v>2950088.7464736402</v>
      </c>
      <c r="T263" s="107">
        <f t="shared" si="24"/>
        <v>3282699.7496440904</v>
      </c>
      <c r="U263" s="107" t="e">
        <f t="shared" si="24"/>
        <v>#REF!</v>
      </c>
    </row>
    <row r="264" spans="7:23" x14ac:dyDescent="0.2">
      <c r="G264" s="107">
        <f t="shared" ref="G264:M264" si="25">G263-G243</f>
        <v>0</v>
      </c>
      <c r="H264" s="107">
        <f t="shared" si="25"/>
        <v>0</v>
      </c>
      <c r="I264" s="107">
        <f t="shared" si="25"/>
        <v>0</v>
      </c>
      <c r="J264" s="107">
        <f t="shared" si="25"/>
        <v>0</v>
      </c>
      <c r="K264" s="107">
        <f t="shared" si="25"/>
        <v>0</v>
      </c>
      <c r="L264" s="107">
        <f t="shared" si="25"/>
        <v>0</v>
      </c>
      <c r="M264" s="107">
        <f t="shared" si="25"/>
        <v>0</v>
      </c>
      <c r="N264" s="107"/>
      <c r="O264" s="107">
        <f t="shared" ref="O264:U264" si="26">O263-O243</f>
        <v>0</v>
      </c>
      <c r="P264" s="107">
        <f t="shared" si="26"/>
        <v>0</v>
      </c>
      <c r="Q264" s="107">
        <f t="shared" si="26"/>
        <v>0</v>
      </c>
      <c r="R264" s="107">
        <f t="shared" si="26"/>
        <v>0</v>
      </c>
      <c r="S264" s="107">
        <f t="shared" si="26"/>
        <v>0</v>
      </c>
      <c r="T264" s="107">
        <f t="shared" si="26"/>
        <v>0</v>
      </c>
      <c r="U264" s="107" t="e">
        <f t="shared" si="26"/>
        <v>#REF!</v>
      </c>
    </row>
    <row r="265" spans="7:23" x14ac:dyDescent="0.2">
      <c r="G265" s="107">
        <f>G243-'[1]додаток сесія_актуальна'!G254</f>
        <v>0</v>
      </c>
      <c r="H265" s="107">
        <f>H243-'[1]додаток сесія_актуальна'!H254</f>
        <v>0</v>
      </c>
      <c r="I265" s="107">
        <f>I243-'[1]додаток сесія_актуальна'!I254</f>
        <v>0</v>
      </c>
      <c r="J265" s="107">
        <f>J243-'[1]додаток сесія_актуальна'!J254</f>
        <v>0</v>
      </c>
      <c r="K265" s="107">
        <f>K243-'[1]додаток сесія_актуальна'!K254</f>
        <v>0</v>
      </c>
      <c r="L265" s="107">
        <f>L243-'[1]додаток сесія_актуальна'!L254</f>
        <v>0</v>
      </c>
      <c r="M265" s="107">
        <f>M243-'[1]додаток сесія_актуальна'!M254</f>
        <v>0</v>
      </c>
      <c r="N265" s="107"/>
      <c r="O265" s="107">
        <f>O243-'[1]додаток сесія_актуальна'!N254</f>
        <v>0</v>
      </c>
    </row>
    <row r="266" spans="7:23" x14ac:dyDescent="0.2">
      <c r="G266" s="107">
        <f>G243-[1]проверкаЗагсум!G23</f>
        <v>0</v>
      </c>
      <c r="H266" s="107">
        <f>H243-[1]проверкаЗагсум!H23</f>
        <v>0</v>
      </c>
      <c r="I266" s="107">
        <f>I243-[1]проверкаЗагсум!I23</f>
        <v>0</v>
      </c>
      <c r="J266" s="107">
        <f>J243-[1]проверкаЗагсум!J23</f>
        <v>0</v>
      </c>
      <c r="K266" s="107">
        <f>K243-[1]проверкаЗагсум!K23</f>
        <v>0</v>
      </c>
      <c r="L266" s="107">
        <f>L243-[1]проверкаЗагсум!L23</f>
        <v>0</v>
      </c>
      <c r="M266" s="107">
        <f>M243-[1]проверкаЗагсум!M23</f>
        <v>0</v>
      </c>
      <c r="N266" s="107"/>
      <c r="O266" s="107">
        <f>O243-[1]проверкаЗагсум!N23</f>
        <v>0</v>
      </c>
      <c r="P266" s="107">
        <f>P243-[1]проверкаЗагсум!O23</f>
        <v>0</v>
      </c>
      <c r="Q266" s="107">
        <f>Q243-[1]проверкаЗагсум!P23</f>
        <v>0</v>
      </c>
      <c r="R266" s="107">
        <f>R243-[1]проверкаЗагсум!Q23</f>
        <v>0</v>
      </c>
      <c r="S266" s="107">
        <f>S243-[1]проверкаЗагсум!R23</f>
        <v>0</v>
      </c>
      <c r="T266" s="107">
        <f>T243-[1]проверкаЗагсум!S23</f>
        <v>0</v>
      </c>
      <c r="U266" s="107">
        <f>U243-[1]проверкаЗагсум!T23</f>
        <v>0</v>
      </c>
    </row>
  </sheetData>
  <sheetProtection selectLockedCells="1" selectUnlockedCells="1"/>
  <mergeCells count="48">
    <mergeCell ref="A68:A69"/>
    <mergeCell ref="N9:N10"/>
    <mergeCell ref="Q9:Q10"/>
    <mergeCell ref="R9:R10"/>
    <mergeCell ref="H9:H10"/>
    <mergeCell ref="I9:I10"/>
    <mergeCell ref="J9:J10"/>
    <mergeCell ref="O9:O10"/>
    <mergeCell ref="A216:B216"/>
    <mergeCell ref="C216:E216"/>
    <mergeCell ref="L3:U3"/>
    <mergeCell ref="M4:U4"/>
    <mergeCell ref="A5:U5"/>
    <mergeCell ref="A7:A10"/>
    <mergeCell ref="B7:B10"/>
    <mergeCell ref="C7:C10"/>
    <mergeCell ref="D7:D10"/>
    <mergeCell ref="E7:E10"/>
    <mergeCell ref="T9:T10"/>
    <mergeCell ref="U9:U10"/>
    <mergeCell ref="F7:F10"/>
    <mergeCell ref="G7:U8"/>
    <mergeCell ref="G9:G10"/>
    <mergeCell ref="P9:P10"/>
    <mergeCell ref="B244:U244"/>
    <mergeCell ref="B246:K246"/>
    <mergeCell ref="E217:E220"/>
    <mergeCell ref="E221:E222"/>
    <mergeCell ref="A233:B233"/>
    <mergeCell ref="A238:B238"/>
    <mergeCell ref="C238:E238"/>
    <mergeCell ref="B217:B223"/>
    <mergeCell ref="S9:S10"/>
    <mergeCell ref="A243:B243"/>
    <mergeCell ref="K9:K10"/>
    <mergeCell ref="L9:L10"/>
    <mergeCell ref="M9:M10"/>
    <mergeCell ref="B12:B13"/>
    <mergeCell ref="E12:E18"/>
    <mergeCell ref="A35:A38"/>
    <mergeCell ref="A59:A60"/>
    <mergeCell ref="B67:B69"/>
    <mergeCell ref="E240:E241"/>
    <mergeCell ref="A242:B242"/>
    <mergeCell ref="C242:E242"/>
    <mergeCell ref="A79:B79"/>
    <mergeCell ref="B80:B83"/>
    <mergeCell ref="E80:E81"/>
  </mergeCells>
  <printOptions horizontalCentered="1"/>
  <pageMargins left="0.39370078740157483" right="0.39370078740157483" top="0.59055118110236227" bottom="0.39370078740157483" header="0.43307086614173229" footer="0"/>
  <pageSetup paperSize="9" scale="58" firstPageNumber="0" fitToHeight="17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2" manualBreakCount="2">
    <brk id="63" min="1" max="20" man="1"/>
    <brk id="79" min="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7"/>
  <sheetViews>
    <sheetView view="pageBreakPreview" zoomScale="91" zoomScaleNormal="100" zoomScaleSheetLayoutView="91" workbookViewId="0">
      <selection activeCell="P243" sqref="P243"/>
    </sheetView>
  </sheetViews>
  <sheetFormatPr defaultRowHeight="13.5" x14ac:dyDescent="0.2"/>
  <cols>
    <col min="1" max="1" width="5.85546875" style="1" customWidth="1"/>
    <col min="2" max="2" width="17.140625" style="1" customWidth="1"/>
    <col min="3" max="3" width="64.140625" style="2" customWidth="1"/>
    <col min="4" max="4" width="7.7109375" style="1" customWidth="1"/>
    <col min="5" max="5" width="21.42578125" style="1" customWidth="1"/>
    <col min="6" max="6" width="21.28515625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3.140625" style="1" hidden="1" customWidth="1"/>
    <col min="15" max="15" width="13.140625" style="1" customWidth="1"/>
    <col min="16" max="16" width="12.42578125" style="1" customWidth="1"/>
    <col min="17" max="17" width="13" style="1" customWidth="1"/>
    <col min="18" max="18" width="13.140625" style="1" customWidth="1"/>
    <col min="19" max="19" width="13.7109375" style="1" customWidth="1"/>
    <col min="20" max="20" width="13.28515625" style="1" customWidth="1"/>
    <col min="21" max="21" width="14.28515625" style="1" customWidth="1"/>
    <col min="22" max="22" width="14.5703125" style="1" customWidth="1"/>
    <col min="23" max="23" width="13.42578125" style="1" customWidth="1"/>
    <col min="24" max="16384" width="9.140625" style="1"/>
  </cols>
  <sheetData>
    <row r="1" spans="1:23" ht="23.25" customHeight="1" x14ac:dyDescent="0.3">
      <c r="A1" s="4"/>
      <c r="B1" s="4"/>
      <c r="C1" s="5"/>
      <c r="D1" s="4"/>
      <c r="E1" s="4"/>
      <c r="F1" s="4"/>
      <c r="G1" s="4"/>
      <c r="H1" s="4"/>
      <c r="I1" s="6"/>
      <c r="J1" s="320" t="s">
        <v>358</v>
      </c>
      <c r="K1" s="320"/>
      <c r="L1" s="320"/>
      <c r="M1" s="320"/>
      <c r="N1" s="320"/>
      <c r="O1" s="320"/>
      <c r="P1" s="320"/>
      <c r="Q1" s="320"/>
      <c r="R1" s="552" t="s">
        <v>359</v>
      </c>
      <c r="S1" s="552"/>
      <c r="T1" s="320"/>
      <c r="U1" s="320"/>
    </row>
    <row r="2" spans="1:23" ht="15.75" customHeight="1" x14ac:dyDescent="0.3">
      <c r="A2" s="4"/>
      <c r="B2" s="4"/>
      <c r="C2" s="5"/>
      <c r="D2" s="4"/>
      <c r="E2" s="4"/>
      <c r="F2" s="4"/>
      <c r="G2" s="4"/>
      <c r="H2" s="4"/>
      <c r="I2" s="4"/>
      <c r="J2" s="321"/>
      <c r="K2" s="338"/>
      <c r="L2" s="338"/>
      <c r="M2" s="338"/>
      <c r="N2" s="338"/>
      <c r="O2" s="338"/>
      <c r="P2" s="338"/>
      <c r="Q2" s="338"/>
      <c r="R2" s="338" t="s">
        <v>360</v>
      </c>
      <c r="S2" s="338"/>
      <c r="T2" s="338"/>
      <c r="U2" s="338"/>
    </row>
    <row r="3" spans="1:23" ht="15.75" customHeight="1" x14ac:dyDescent="0.3">
      <c r="A3" s="4"/>
      <c r="B3" s="4"/>
      <c r="C3" s="5"/>
      <c r="D3" s="4"/>
      <c r="E3" s="4"/>
      <c r="F3" s="4"/>
      <c r="G3" s="4"/>
      <c r="H3" s="4"/>
      <c r="I3" s="4"/>
      <c r="J3" s="338"/>
      <c r="K3" s="338"/>
      <c r="L3" s="552"/>
      <c r="M3" s="553"/>
      <c r="N3" s="553"/>
      <c r="O3" s="553"/>
      <c r="P3" s="553"/>
      <c r="Q3" s="553"/>
      <c r="R3" s="553"/>
      <c r="S3" s="553"/>
      <c r="T3" s="553"/>
      <c r="U3" s="553"/>
    </row>
    <row r="4" spans="1:23" ht="15.75" customHeight="1" x14ac:dyDescent="0.3">
      <c r="A4" s="4"/>
      <c r="B4" s="4"/>
      <c r="C4" s="5"/>
      <c r="D4" s="4"/>
      <c r="E4" s="4"/>
      <c r="F4" s="4"/>
      <c r="G4" s="4"/>
      <c r="H4" s="4"/>
      <c r="I4" s="4"/>
      <c r="J4" s="346"/>
      <c r="K4" s="346"/>
      <c r="L4" s="346"/>
      <c r="M4" s="554"/>
      <c r="N4" s="555"/>
      <c r="O4" s="555"/>
      <c r="P4" s="555"/>
      <c r="Q4" s="555"/>
      <c r="R4" s="555"/>
      <c r="S4" s="555"/>
      <c r="T4" s="555"/>
      <c r="U4" s="555"/>
    </row>
    <row r="5" spans="1:23" ht="24" customHeight="1" x14ac:dyDescent="0.35">
      <c r="A5" s="637" t="s">
        <v>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</row>
    <row r="7" spans="1:23" ht="12.75" customHeight="1" x14ac:dyDescent="0.2">
      <c r="A7" s="623" t="s">
        <v>1</v>
      </c>
      <c r="B7" s="623" t="s">
        <v>2</v>
      </c>
      <c r="C7" s="623" t="s">
        <v>3</v>
      </c>
      <c r="D7" s="623" t="s">
        <v>4</v>
      </c>
      <c r="E7" s="623" t="s">
        <v>5</v>
      </c>
      <c r="F7" s="623" t="s">
        <v>6</v>
      </c>
      <c r="G7" s="623" t="s">
        <v>7</v>
      </c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3"/>
      <c r="U7" s="623"/>
    </row>
    <row r="8" spans="1:23" ht="12.75" x14ac:dyDescent="0.2">
      <c r="A8" s="623"/>
      <c r="B8" s="623"/>
      <c r="C8" s="623"/>
      <c r="D8" s="623"/>
      <c r="E8" s="623"/>
      <c r="F8" s="623"/>
      <c r="G8" s="623"/>
      <c r="H8" s="623"/>
      <c r="I8" s="623"/>
      <c r="J8" s="623"/>
      <c r="K8" s="623"/>
      <c r="L8" s="623"/>
      <c r="M8" s="623"/>
      <c r="N8" s="623"/>
      <c r="O8" s="623"/>
      <c r="P8" s="623"/>
      <c r="Q8" s="623"/>
      <c r="R8" s="623"/>
      <c r="S8" s="623"/>
      <c r="T8" s="623"/>
      <c r="U8" s="623"/>
    </row>
    <row r="9" spans="1:23" ht="12.75" customHeight="1" x14ac:dyDescent="0.2">
      <c r="A9" s="623"/>
      <c r="B9" s="623"/>
      <c r="C9" s="623"/>
      <c r="D9" s="623"/>
      <c r="E9" s="623"/>
      <c r="F9" s="623"/>
      <c r="G9" s="623">
        <v>2016</v>
      </c>
      <c r="H9" s="623">
        <v>2017</v>
      </c>
      <c r="I9" s="623">
        <v>2018</v>
      </c>
      <c r="J9" s="623">
        <v>2019</v>
      </c>
      <c r="K9" s="623">
        <v>2020</v>
      </c>
      <c r="L9" s="623">
        <v>2021</v>
      </c>
      <c r="M9" s="623">
        <v>2022</v>
      </c>
      <c r="N9" s="623">
        <v>2023</v>
      </c>
      <c r="O9" s="623" t="s">
        <v>29</v>
      </c>
      <c r="P9" s="623">
        <v>2024</v>
      </c>
      <c r="Q9" s="623">
        <v>2025</v>
      </c>
      <c r="R9" s="623">
        <v>2026</v>
      </c>
      <c r="S9" s="623">
        <v>2027</v>
      </c>
      <c r="T9" s="623">
        <v>2028</v>
      </c>
      <c r="U9" s="623" t="s">
        <v>8</v>
      </c>
    </row>
    <row r="10" spans="1:23" ht="20.25" customHeight="1" x14ac:dyDescent="0.2">
      <c r="A10" s="623"/>
      <c r="B10" s="623"/>
      <c r="C10" s="623"/>
      <c r="D10" s="623"/>
      <c r="E10" s="623"/>
      <c r="F10" s="623"/>
      <c r="G10" s="623"/>
      <c r="H10" s="623"/>
      <c r="I10" s="623"/>
      <c r="J10" s="623"/>
      <c r="K10" s="623"/>
      <c r="L10" s="623"/>
      <c r="M10" s="623"/>
      <c r="N10" s="623"/>
      <c r="O10" s="623"/>
      <c r="P10" s="623"/>
      <c r="Q10" s="623"/>
      <c r="R10" s="623"/>
      <c r="S10" s="623"/>
      <c r="T10" s="623"/>
      <c r="U10" s="623"/>
    </row>
    <row r="11" spans="1:23" ht="15.75" customHeight="1" x14ac:dyDescent="0.2">
      <c r="A11" s="193">
        <v>1</v>
      </c>
      <c r="B11" s="193">
        <v>2</v>
      </c>
      <c r="C11" s="193">
        <v>3</v>
      </c>
      <c r="D11" s="193">
        <v>4</v>
      </c>
      <c r="E11" s="193">
        <v>5</v>
      </c>
      <c r="F11" s="193">
        <v>6</v>
      </c>
      <c r="G11" s="10"/>
      <c r="H11" s="10"/>
      <c r="I11" s="10"/>
      <c r="J11" s="10"/>
      <c r="K11" s="10"/>
      <c r="L11" s="10"/>
      <c r="M11" s="10"/>
      <c r="N11" s="10"/>
      <c r="O11" s="10">
        <v>7</v>
      </c>
      <c r="P11" s="10">
        <v>8</v>
      </c>
      <c r="Q11" s="10">
        <v>9</v>
      </c>
      <c r="R11" s="10">
        <v>10</v>
      </c>
      <c r="S11" s="10">
        <v>11</v>
      </c>
      <c r="T11" s="10">
        <v>12</v>
      </c>
      <c r="U11" s="10">
        <v>13</v>
      </c>
    </row>
    <row r="12" spans="1:23" s="17" customFormat="1" ht="63" customHeight="1" x14ac:dyDescent="0.2">
      <c r="A12" s="11">
        <v>1</v>
      </c>
      <c r="B12" s="591" t="s">
        <v>9</v>
      </c>
      <c r="C12" s="348" t="s">
        <v>10</v>
      </c>
      <c r="D12" s="199" t="s">
        <v>11</v>
      </c>
      <c r="E12" s="627" t="s">
        <v>12</v>
      </c>
      <c r="F12" s="349" t="s">
        <v>13</v>
      </c>
      <c r="G12" s="15">
        <v>73702.679999999993</v>
      </c>
      <c r="H12" s="15">
        <f>94537.8+830</f>
        <v>95367.8</v>
      </c>
      <c r="I12" s="15">
        <v>114042.5</v>
      </c>
      <c r="J12" s="15">
        <v>143546.20000000001</v>
      </c>
      <c r="K12" s="15">
        <v>227890.4</v>
      </c>
      <c r="L12" s="15">
        <f>59251.7+11539-1500+103.7+3900</f>
        <v>73294.399999999994</v>
      </c>
      <c r="M12" s="15">
        <v>0</v>
      </c>
      <c r="N12" s="15">
        <v>0</v>
      </c>
      <c r="O12" s="15">
        <f>G12+H12+I12+J12+K12+L12+M12+N12</f>
        <v>727843.98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f>SUM(G12:T12)-O12</f>
        <v>727843.98</v>
      </c>
      <c r="V12" s="16">
        <f>G12+H12+I12+J12+K12+L12+M12+N12+P12+Q12+R12+S12+T12-U12</f>
        <v>0</v>
      </c>
      <c r="W12" s="16"/>
    </row>
    <row r="13" spans="1:23" s="17" customFormat="1" ht="116.25" customHeight="1" x14ac:dyDescent="0.2">
      <c r="A13" s="18"/>
      <c r="B13" s="592"/>
      <c r="C13" s="348" t="s">
        <v>14</v>
      </c>
      <c r="D13" s="199" t="s">
        <v>15</v>
      </c>
      <c r="E13" s="628"/>
      <c r="F13" s="349" t="s">
        <v>13</v>
      </c>
      <c r="G13" s="15">
        <v>9960</v>
      </c>
      <c r="H13" s="15">
        <v>9960</v>
      </c>
      <c r="I13" s="15">
        <v>400</v>
      </c>
      <c r="J13" s="15">
        <v>2102.1999999999998</v>
      </c>
      <c r="K13" s="15">
        <v>20800</v>
      </c>
      <c r="L13" s="15">
        <v>0</v>
      </c>
      <c r="M13" s="15">
        <v>0</v>
      </c>
      <c r="N13" s="15">
        <f>0+5200</f>
        <v>5200</v>
      </c>
      <c r="O13" s="15">
        <f t="shared" ref="O13:O76" si="0">G13+H13+I13+J13+K13+L13+M13+N13</f>
        <v>48422.2</v>
      </c>
      <c r="P13" s="15">
        <v>5600</v>
      </c>
      <c r="Q13" s="15">
        <v>7000</v>
      </c>
      <c r="R13" s="15">
        <v>8000</v>
      </c>
      <c r="S13" s="15">
        <v>9000</v>
      </c>
      <c r="T13" s="15">
        <v>10000</v>
      </c>
      <c r="U13" s="15">
        <f t="shared" ref="U13:U76" si="1">SUM(G13:T13)-O13</f>
        <v>88022.2</v>
      </c>
      <c r="V13" s="16">
        <f t="shared" ref="V13:V76" si="2">G13+H13+I13+J13+K13+L13+M13+N13+P13+Q13+R13+S13+T13-U13</f>
        <v>0</v>
      </c>
      <c r="W13" s="16"/>
    </row>
    <row r="14" spans="1:23" s="17" customFormat="1" ht="55.5" customHeight="1" x14ac:dyDescent="0.2">
      <c r="A14" s="18"/>
      <c r="B14" s="19"/>
      <c r="C14" s="348" t="s">
        <v>16</v>
      </c>
      <c r="D14" s="199" t="s">
        <v>15</v>
      </c>
      <c r="E14" s="628"/>
      <c r="F14" s="349" t="s">
        <v>13</v>
      </c>
      <c r="G14" s="15">
        <v>17132.7</v>
      </c>
      <c r="H14" s="20">
        <v>15000</v>
      </c>
      <c r="I14" s="20">
        <v>8150</v>
      </c>
      <c r="J14" s="20">
        <v>7800</v>
      </c>
      <c r="K14" s="20">
        <v>13000</v>
      </c>
      <c r="L14" s="20">
        <v>12500</v>
      </c>
      <c r="M14" s="20">
        <v>13750</v>
      </c>
      <c r="N14" s="20">
        <f>15125-5200</f>
        <v>9925</v>
      </c>
      <c r="O14" s="20">
        <f t="shared" si="0"/>
        <v>97257.7</v>
      </c>
      <c r="P14" s="20">
        <v>0</v>
      </c>
      <c r="Q14" s="20">
        <v>20000</v>
      </c>
      <c r="R14" s="20">
        <v>22000</v>
      </c>
      <c r="S14" s="20">
        <v>18000</v>
      </c>
      <c r="T14" s="20">
        <v>20000</v>
      </c>
      <c r="U14" s="15">
        <f t="shared" si="1"/>
        <v>177257.7</v>
      </c>
      <c r="V14" s="16">
        <f t="shared" si="2"/>
        <v>0</v>
      </c>
      <c r="W14" s="16"/>
    </row>
    <row r="15" spans="1:23" s="17" customFormat="1" ht="46.5" customHeight="1" x14ac:dyDescent="0.2">
      <c r="A15" s="18"/>
      <c r="B15" s="19"/>
      <c r="C15" s="348" t="s">
        <v>17</v>
      </c>
      <c r="D15" s="199" t="s">
        <v>18</v>
      </c>
      <c r="E15" s="628"/>
      <c r="F15" s="349" t="s">
        <v>13</v>
      </c>
      <c r="G15" s="15">
        <v>100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f t="shared" si="0"/>
        <v>100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5">
        <f t="shared" si="1"/>
        <v>100</v>
      </c>
      <c r="V15" s="16">
        <f t="shared" si="2"/>
        <v>0</v>
      </c>
      <c r="W15" s="16"/>
    </row>
    <row r="16" spans="1:23" s="17" customFormat="1" ht="48.75" customHeight="1" x14ac:dyDescent="0.2">
      <c r="A16" s="18"/>
      <c r="B16" s="19"/>
      <c r="C16" s="348" t="s">
        <v>19</v>
      </c>
      <c r="D16" s="199" t="s">
        <v>18</v>
      </c>
      <c r="E16" s="628"/>
      <c r="F16" s="349" t="s">
        <v>13</v>
      </c>
      <c r="G16" s="15">
        <v>290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f t="shared" si="0"/>
        <v>290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5">
        <f t="shared" si="1"/>
        <v>290</v>
      </c>
      <c r="V16" s="16">
        <f t="shared" si="2"/>
        <v>0</v>
      </c>
      <c r="W16" s="16"/>
    </row>
    <row r="17" spans="1:23" s="17" customFormat="1" ht="45" customHeight="1" x14ac:dyDescent="0.2">
      <c r="A17" s="18"/>
      <c r="B17" s="19"/>
      <c r="C17" s="348" t="s">
        <v>20</v>
      </c>
      <c r="D17" s="199" t="s">
        <v>18</v>
      </c>
      <c r="E17" s="628"/>
      <c r="F17" s="349" t="s">
        <v>13</v>
      </c>
      <c r="G17" s="15">
        <v>60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f t="shared" si="0"/>
        <v>60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5">
        <f t="shared" si="1"/>
        <v>60</v>
      </c>
      <c r="V17" s="16">
        <f t="shared" si="2"/>
        <v>0</v>
      </c>
      <c r="W17" s="16"/>
    </row>
    <row r="18" spans="1:23" s="17" customFormat="1" ht="44.25" customHeight="1" x14ac:dyDescent="0.2">
      <c r="A18" s="18"/>
      <c r="B18" s="19"/>
      <c r="C18" s="348" t="s">
        <v>21</v>
      </c>
      <c r="D18" s="199" t="s">
        <v>18</v>
      </c>
      <c r="E18" s="628"/>
      <c r="F18" s="349" t="s">
        <v>13</v>
      </c>
      <c r="G18" s="15">
        <v>100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f t="shared" si="0"/>
        <v>100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5">
        <f t="shared" si="1"/>
        <v>100</v>
      </c>
      <c r="V18" s="16">
        <f t="shared" si="2"/>
        <v>0</v>
      </c>
      <c r="W18" s="16"/>
    </row>
    <row r="19" spans="1:23" s="17" customFormat="1" ht="47.25" customHeight="1" x14ac:dyDescent="0.2">
      <c r="A19" s="18"/>
      <c r="B19" s="19"/>
      <c r="C19" s="348" t="s">
        <v>22</v>
      </c>
      <c r="D19" s="199" t="s">
        <v>15</v>
      </c>
      <c r="E19" s="341"/>
      <c r="F19" s="349" t="s">
        <v>13</v>
      </c>
      <c r="G19" s="20">
        <v>0</v>
      </c>
      <c r="H19" s="20">
        <v>3500</v>
      </c>
      <c r="I19" s="20">
        <v>1200</v>
      </c>
      <c r="J19" s="20">
        <v>20000</v>
      </c>
      <c r="K19" s="20">
        <v>12050</v>
      </c>
      <c r="L19" s="20">
        <v>15500</v>
      </c>
      <c r="M19" s="20">
        <v>3850</v>
      </c>
      <c r="N19" s="20">
        <v>4235</v>
      </c>
      <c r="O19" s="20">
        <f t="shared" si="0"/>
        <v>60335</v>
      </c>
      <c r="P19" s="20">
        <v>0</v>
      </c>
      <c r="Q19" s="20">
        <v>3500</v>
      </c>
      <c r="R19" s="20">
        <v>4000</v>
      </c>
      <c r="S19" s="20">
        <v>4500</v>
      </c>
      <c r="T19" s="20">
        <v>5000</v>
      </c>
      <c r="U19" s="15">
        <f t="shared" si="1"/>
        <v>77335</v>
      </c>
      <c r="V19" s="16">
        <f t="shared" si="2"/>
        <v>0</v>
      </c>
      <c r="W19" s="16"/>
    </row>
    <row r="20" spans="1:23" s="17" customFormat="1" ht="46.5" customHeight="1" x14ac:dyDescent="0.2">
      <c r="A20" s="22"/>
      <c r="B20" s="19"/>
      <c r="C20" s="348" t="s">
        <v>23</v>
      </c>
      <c r="D20" s="350" t="s">
        <v>18</v>
      </c>
      <c r="E20" s="24"/>
      <c r="F20" s="349" t="s">
        <v>13</v>
      </c>
      <c r="G20" s="20">
        <v>0</v>
      </c>
      <c r="H20" s="20">
        <v>200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f t="shared" si="0"/>
        <v>200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5">
        <f t="shared" si="1"/>
        <v>200</v>
      </c>
      <c r="V20" s="16">
        <f t="shared" si="2"/>
        <v>0</v>
      </c>
      <c r="W20" s="16"/>
    </row>
    <row r="21" spans="1:23" s="17" customFormat="1" ht="43.5" customHeight="1" x14ac:dyDescent="0.2">
      <c r="A21" s="18"/>
      <c r="B21" s="18"/>
      <c r="C21" s="348" t="s">
        <v>24</v>
      </c>
      <c r="D21" s="199" t="s">
        <v>18</v>
      </c>
      <c r="E21" s="24"/>
      <c r="F21" s="349" t="s">
        <v>13</v>
      </c>
      <c r="G21" s="20">
        <v>0</v>
      </c>
      <c r="H21" s="15">
        <v>60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f t="shared" si="0"/>
        <v>60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5">
        <f t="shared" si="1"/>
        <v>60</v>
      </c>
      <c r="V21" s="16">
        <f t="shared" si="2"/>
        <v>0</v>
      </c>
      <c r="W21" s="16"/>
    </row>
    <row r="22" spans="1:23" s="17" customFormat="1" ht="54.75" customHeight="1" x14ac:dyDescent="0.2">
      <c r="A22" s="18"/>
      <c r="B22" s="323"/>
      <c r="C22" s="351" t="s">
        <v>25</v>
      </c>
      <c r="D22" s="350" t="s">
        <v>18</v>
      </c>
      <c r="E22" s="24"/>
      <c r="F22" s="26" t="s">
        <v>13</v>
      </c>
      <c r="G22" s="20">
        <v>0</v>
      </c>
      <c r="H22" s="15">
        <v>150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f t="shared" si="0"/>
        <v>150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5">
        <f t="shared" si="1"/>
        <v>150</v>
      </c>
      <c r="V22" s="16">
        <f t="shared" si="2"/>
        <v>0</v>
      </c>
      <c r="W22" s="16"/>
    </row>
    <row r="23" spans="1:23" s="17" customFormat="1" ht="44.25" customHeight="1" x14ac:dyDescent="0.2">
      <c r="A23" s="18"/>
      <c r="B23" s="18"/>
      <c r="C23" s="352" t="s">
        <v>26</v>
      </c>
      <c r="D23" s="353" t="s">
        <v>18</v>
      </c>
      <c r="E23" s="24"/>
      <c r="F23" s="354" t="s">
        <v>13</v>
      </c>
      <c r="G23" s="20">
        <v>0</v>
      </c>
      <c r="H23" s="15">
        <v>150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f t="shared" si="0"/>
        <v>150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15">
        <f t="shared" si="1"/>
        <v>150</v>
      </c>
      <c r="V23" s="16">
        <f t="shared" si="2"/>
        <v>0</v>
      </c>
      <c r="W23" s="16"/>
    </row>
    <row r="24" spans="1:23" s="17" customFormat="1" ht="47.25" customHeight="1" x14ac:dyDescent="0.2">
      <c r="A24" s="325"/>
      <c r="B24" s="32"/>
      <c r="C24" s="348" t="s">
        <v>27</v>
      </c>
      <c r="D24" s="199" t="s">
        <v>15</v>
      </c>
      <c r="E24" s="326"/>
      <c r="F24" s="349" t="s">
        <v>13</v>
      </c>
      <c r="G24" s="20">
        <v>0</v>
      </c>
      <c r="H24" s="15">
        <v>5500</v>
      </c>
      <c r="I24" s="15">
        <v>42900</v>
      </c>
      <c r="J24" s="15">
        <v>11871.2</v>
      </c>
      <c r="K24" s="15">
        <v>11940.3</v>
      </c>
      <c r="L24" s="15">
        <v>6000</v>
      </c>
      <c r="M24" s="15">
        <v>0</v>
      </c>
      <c r="N24" s="15">
        <v>0</v>
      </c>
      <c r="O24" s="15">
        <f t="shared" si="0"/>
        <v>78211.5</v>
      </c>
      <c r="P24" s="15">
        <v>0</v>
      </c>
      <c r="Q24" s="15">
        <v>5000</v>
      </c>
      <c r="R24" s="15">
        <v>5000</v>
      </c>
      <c r="S24" s="15">
        <v>0</v>
      </c>
      <c r="T24" s="15">
        <v>0</v>
      </c>
      <c r="U24" s="15">
        <f t="shared" si="1"/>
        <v>88211.5</v>
      </c>
      <c r="V24" s="16">
        <f t="shared" si="2"/>
        <v>0</v>
      </c>
      <c r="W24" s="16"/>
    </row>
    <row r="25" spans="1:23" s="17" customFormat="1" ht="49.5" customHeight="1" x14ac:dyDescent="0.2">
      <c r="A25" s="18"/>
      <c r="B25" s="30"/>
      <c r="C25" s="348" t="s">
        <v>28</v>
      </c>
      <c r="D25" s="199" t="s">
        <v>29</v>
      </c>
      <c r="E25" s="24"/>
      <c r="F25" s="349" t="s">
        <v>13</v>
      </c>
      <c r="G25" s="15">
        <v>2000</v>
      </c>
      <c r="H25" s="15">
        <v>2000</v>
      </c>
      <c r="I25" s="15">
        <v>3250</v>
      </c>
      <c r="J25" s="15">
        <v>4600</v>
      </c>
      <c r="K25" s="15">
        <v>4000</v>
      </c>
      <c r="L25" s="15">
        <f>0+397.7</f>
        <v>397.7</v>
      </c>
      <c r="M25" s="15">
        <v>0</v>
      </c>
      <c r="N25" s="15">
        <v>0</v>
      </c>
      <c r="O25" s="15">
        <f t="shared" si="0"/>
        <v>16247.7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f t="shared" si="1"/>
        <v>16247.7</v>
      </c>
      <c r="V25" s="16">
        <f t="shared" si="2"/>
        <v>0</v>
      </c>
      <c r="W25" s="16"/>
    </row>
    <row r="26" spans="1:23" s="17" customFormat="1" ht="51" customHeight="1" x14ac:dyDescent="0.2">
      <c r="A26" s="18"/>
      <c r="B26" s="30"/>
      <c r="C26" s="348" t="s">
        <v>30</v>
      </c>
      <c r="D26" s="199" t="s">
        <v>29</v>
      </c>
      <c r="E26" s="24"/>
      <c r="F26" s="349" t="s">
        <v>13</v>
      </c>
      <c r="G26" s="20">
        <v>100</v>
      </c>
      <c r="H26" s="15">
        <v>2000</v>
      </c>
      <c r="I26" s="15">
        <v>3100</v>
      </c>
      <c r="J26" s="15">
        <v>12000</v>
      </c>
      <c r="K26" s="15">
        <v>14573.5</v>
      </c>
      <c r="L26" s="15">
        <f>1017.3</f>
        <v>1017.3</v>
      </c>
      <c r="M26" s="15">
        <v>0</v>
      </c>
      <c r="N26" s="15">
        <v>0</v>
      </c>
      <c r="O26" s="15">
        <f t="shared" si="0"/>
        <v>32790.800000000003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f t="shared" si="1"/>
        <v>32790.800000000003</v>
      </c>
      <c r="V26" s="16">
        <f t="shared" si="2"/>
        <v>0</v>
      </c>
      <c r="W26" s="16"/>
    </row>
    <row r="27" spans="1:23" s="17" customFormat="1" ht="45" customHeight="1" x14ac:dyDescent="0.2">
      <c r="A27" s="18"/>
      <c r="B27" s="30"/>
      <c r="C27" s="348" t="s">
        <v>31</v>
      </c>
      <c r="D27" s="199" t="s">
        <v>29</v>
      </c>
      <c r="E27" s="24"/>
      <c r="F27" s="349" t="s">
        <v>13</v>
      </c>
      <c r="G27" s="15">
        <v>1500</v>
      </c>
      <c r="H27" s="15">
        <v>1680</v>
      </c>
      <c r="I27" s="15">
        <v>1800</v>
      </c>
      <c r="J27" s="15">
        <v>3450</v>
      </c>
      <c r="K27" s="15">
        <v>3000</v>
      </c>
      <c r="L27" s="15">
        <f>0+1500+815.9</f>
        <v>2315.9</v>
      </c>
      <c r="M27" s="15">
        <v>0</v>
      </c>
      <c r="N27" s="15">
        <f>2850.5</f>
        <v>2850.5</v>
      </c>
      <c r="O27" s="15">
        <f t="shared" si="0"/>
        <v>16596.400000000001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f t="shared" si="1"/>
        <v>16596.400000000001</v>
      </c>
      <c r="V27" s="16">
        <f t="shared" si="2"/>
        <v>0</v>
      </c>
      <c r="W27" s="16"/>
    </row>
    <row r="28" spans="1:23" s="17" customFormat="1" ht="66.75" customHeight="1" x14ac:dyDescent="0.2">
      <c r="A28" s="18"/>
      <c r="B28" s="30"/>
      <c r="C28" s="348" t="s">
        <v>32</v>
      </c>
      <c r="D28" s="199" t="s">
        <v>15</v>
      </c>
      <c r="E28" s="24"/>
      <c r="F28" s="349" t="s">
        <v>13</v>
      </c>
      <c r="G28" s="20">
        <v>0</v>
      </c>
      <c r="H28" s="15">
        <f>5650</f>
        <v>5650</v>
      </c>
      <c r="I28" s="15">
        <v>6800</v>
      </c>
      <c r="J28" s="15">
        <v>8000</v>
      </c>
      <c r="K28" s="15">
        <v>9500</v>
      </c>
      <c r="L28" s="15">
        <v>3500</v>
      </c>
      <c r="M28" s="15">
        <v>3850</v>
      </c>
      <c r="N28" s="15">
        <f>4235-4235</f>
        <v>0</v>
      </c>
      <c r="O28" s="15">
        <f t="shared" si="0"/>
        <v>37300</v>
      </c>
      <c r="P28" s="15">
        <v>0</v>
      </c>
      <c r="Q28" s="15">
        <v>7300</v>
      </c>
      <c r="R28" s="15">
        <v>8000</v>
      </c>
      <c r="S28" s="15">
        <v>8800</v>
      </c>
      <c r="T28" s="15">
        <v>10000</v>
      </c>
      <c r="U28" s="15">
        <f t="shared" si="1"/>
        <v>71400</v>
      </c>
      <c r="V28" s="16">
        <f t="shared" si="2"/>
        <v>0</v>
      </c>
      <c r="W28" s="16"/>
    </row>
    <row r="29" spans="1:23" s="17" customFormat="1" ht="78.75" customHeight="1" x14ac:dyDescent="0.2">
      <c r="A29" s="22"/>
      <c r="B29" s="30"/>
      <c r="C29" s="348" t="s">
        <v>33</v>
      </c>
      <c r="D29" s="350" t="s">
        <v>29</v>
      </c>
      <c r="E29" s="24"/>
      <c r="F29" s="349" t="s">
        <v>13</v>
      </c>
      <c r="G29" s="20">
        <v>0</v>
      </c>
      <c r="H29" s="15">
        <v>9116.2999999999993</v>
      </c>
      <c r="I29" s="20">
        <v>0</v>
      </c>
      <c r="J29" s="20">
        <v>200</v>
      </c>
      <c r="K29" s="20">
        <v>14000</v>
      </c>
      <c r="L29" s="20">
        <v>9713.6</v>
      </c>
      <c r="M29" s="20">
        <v>0</v>
      </c>
      <c r="N29" s="20">
        <v>0</v>
      </c>
      <c r="O29" s="20">
        <f t="shared" si="0"/>
        <v>33029.9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f t="shared" si="1"/>
        <v>33029.9</v>
      </c>
      <c r="V29" s="16">
        <f t="shared" si="2"/>
        <v>0</v>
      </c>
      <c r="W29" s="16"/>
    </row>
    <row r="30" spans="1:23" s="17" customFormat="1" ht="61.5" customHeight="1" x14ac:dyDescent="0.2">
      <c r="A30" s="22"/>
      <c r="B30" s="31"/>
      <c r="C30" s="348" t="s">
        <v>34</v>
      </c>
      <c r="D30" s="199" t="s">
        <v>15</v>
      </c>
      <c r="E30" s="24"/>
      <c r="F30" s="349" t="s">
        <v>13</v>
      </c>
      <c r="G30" s="20">
        <v>0</v>
      </c>
      <c r="H30" s="20">
        <v>0</v>
      </c>
      <c r="I30" s="15">
        <v>10000</v>
      </c>
      <c r="J30" s="20">
        <v>0</v>
      </c>
      <c r="K30" s="20">
        <v>0</v>
      </c>
      <c r="L30" s="20">
        <v>16000</v>
      </c>
      <c r="M30" s="20">
        <v>0</v>
      </c>
      <c r="N30" s="20">
        <v>0</v>
      </c>
      <c r="O30" s="20">
        <f t="shared" si="0"/>
        <v>26000</v>
      </c>
      <c r="P30" s="20">
        <v>0</v>
      </c>
      <c r="Q30" s="20">
        <v>40000</v>
      </c>
      <c r="R30" s="20">
        <v>0</v>
      </c>
      <c r="S30" s="20">
        <v>0</v>
      </c>
      <c r="T30" s="20">
        <v>0</v>
      </c>
      <c r="U30" s="15">
        <f t="shared" si="1"/>
        <v>66000</v>
      </c>
      <c r="V30" s="16">
        <f t="shared" si="2"/>
        <v>0</v>
      </c>
      <c r="W30" s="16"/>
    </row>
    <row r="31" spans="1:23" s="17" customFormat="1" ht="71.25" customHeight="1" x14ac:dyDescent="0.2">
      <c r="A31" s="22"/>
      <c r="B31" s="31"/>
      <c r="C31" s="348" t="s">
        <v>35</v>
      </c>
      <c r="D31" s="199" t="s">
        <v>29</v>
      </c>
      <c r="E31" s="24"/>
      <c r="F31" s="349" t="s">
        <v>13</v>
      </c>
      <c r="G31" s="20">
        <v>0</v>
      </c>
      <c r="H31" s="20">
        <v>0</v>
      </c>
      <c r="I31" s="20">
        <v>0</v>
      </c>
      <c r="J31" s="20">
        <v>2425</v>
      </c>
      <c r="K31" s="20">
        <v>1275</v>
      </c>
      <c r="L31" s="20">
        <v>286.39999999999998</v>
      </c>
      <c r="M31" s="20">
        <v>0</v>
      </c>
      <c r="N31" s="20">
        <v>0</v>
      </c>
      <c r="O31" s="20">
        <f t="shared" si="0"/>
        <v>3986.4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5">
        <f t="shared" si="1"/>
        <v>3986.4</v>
      </c>
      <c r="V31" s="16">
        <f t="shared" si="2"/>
        <v>0</v>
      </c>
      <c r="W31" s="16"/>
    </row>
    <row r="32" spans="1:23" s="17" customFormat="1" ht="60.75" customHeight="1" x14ac:dyDescent="0.2">
      <c r="A32" s="18"/>
      <c r="B32" s="30"/>
      <c r="C32" s="351" t="s">
        <v>36</v>
      </c>
      <c r="D32" s="350" t="s">
        <v>15</v>
      </c>
      <c r="E32" s="24"/>
      <c r="F32" s="349" t="s">
        <v>13</v>
      </c>
      <c r="G32" s="20">
        <v>0</v>
      </c>
      <c r="H32" s="20">
        <v>0</v>
      </c>
      <c r="I32" s="15">
        <v>10000</v>
      </c>
      <c r="J32" s="20">
        <v>0</v>
      </c>
      <c r="K32" s="20">
        <v>0</v>
      </c>
      <c r="L32" s="20">
        <v>0</v>
      </c>
      <c r="M32" s="20">
        <f>16000-16000</f>
        <v>0</v>
      </c>
      <c r="N32" s="20">
        <v>0</v>
      </c>
      <c r="O32" s="20">
        <f t="shared" si="0"/>
        <v>10000</v>
      </c>
      <c r="P32" s="20">
        <v>0</v>
      </c>
      <c r="Q32" s="20">
        <v>0</v>
      </c>
      <c r="R32" s="20">
        <v>50000</v>
      </c>
      <c r="S32" s="20">
        <v>0</v>
      </c>
      <c r="T32" s="20">
        <v>0</v>
      </c>
      <c r="U32" s="15">
        <f t="shared" si="1"/>
        <v>60000</v>
      </c>
      <c r="V32" s="16">
        <f t="shared" si="2"/>
        <v>0</v>
      </c>
      <c r="W32" s="16"/>
    </row>
    <row r="33" spans="1:23" s="17" customFormat="1" ht="68.25" customHeight="1" x14ac:dyDescent="0.2">
      <c r="A33" s="18"/>
      <c r="B33" s="30"/>
      <c r="C33" s="355" t="s">
        <v>37</v>
      </c>
      <c r="D33" s="353" t="s">
        <v>15</v>
      </c>
      <c r="E33" s="24"/>
      <c r="F33" s="349" t="s">
        <v>13</v>
      </c>
      <c r="G33" s="20">
        <v>0</v>
      </c>
      <c r="H33" s="20">
        <v>0</v>
      </c>
      <c r="I33" s="20">
        <v>0</v>
      </c>
      <c r="J33" s="15">
        <v>8000</v>
      </c>
      <c r="K33" s="20">
        <v>0</v>
      </c>
      <c r="L33" s="20">
        <v>0</v>
      </c>
      <c r="M33" s="20">
        <v>4000</v>
      </c>
      <c r="N33" s="20">
        <f>18000-18000</f>
        <v>0</v>
      </c>
      <c r="O33" s="20">
        <f t="shared" si="0"/>
        <v>12000</v>
      </c>
      <c r="P33" s="20">
        <v>0</v>
      </c>
      <c r="Q33" s="20">
        <v>0</v>
      </c>
      <c r="R33" s="20">
        <v>0</v>
      </c>
      <c r="S33" s="20">
        <v>0</v>
      </c>
      <c r="T33" s="20">
        <v>80000</v>
      </c>
      <c r="U33" s="15">
        <f t="shared" si="1"/>
        <v>92000</v>
      </c>
      <c r="V33" s="16">
        <f t="shared" si="2"/>
        <v>0</v>
      </c>
      <c r="W33" s="16"/>
    </row>
    <row r="34" spans="1:23" s="17" customFormat="1" ht="71.25" customHeight="1" x14ac:dyDescent="0.2">
      <c r="A34" s="22"/>
      <c r="B34" s="30"/>
      <c r="C34" s="356" t="s">
        <v>38</v>
      </c>
      <c r="D34" s="350" t="s">
        <v>15</v>
      </c>
      <c r="E34" s="24"/>
      <c r="F34" s="357" t="s">
        <v>13</v>
      </c>
      <c r="G34" s="20">
        <v>0</v>
      </c>
      <c r="H34" s="20">
        <v>0</v>
      </c>
      <c r="I34" s="20">
        <v>0</v>
      </c>
      <c r="J34" s="20">
        <v>0</v>
      </c>
      <c r="K34" s="15">
        <v>10000</v>
      </c>
      <c r="L34" s="15">
        <v>0</v>
      </c>
      <c r="M34" s="15">
        <v>0</v>
      </c>
      <c r="N34" s="15">
        <v>16000</v>
      </c>
      <c r="O34" s="15">
        <f t="shared" si="0"/>
        <v>26000</v>
      </c>
      <c r="P34" s="15">
        <v>0</v>
      </c>
      <c r="Q34" s="15">
        <v>0</v>
      </c>
      <c r="R34" s="15">
        <v>0</v>
      </c>
      <c r="S34" s="15">
        <v>60000</v>
      </c>
      <c r="T34" s="15">
        <v>0</v>
      </c>
      <c r="U34" s="15">
        <f t="shared" si="1"/>
        <v>86000</v>
      </c>
      <c r="V34" s="16">
        <f t="shared" si="2"/>
        <v>0</v>
      </c>
      <c r="W34" s="16"/>
    </row>
    <row r="35" spans="1:23" s="17" customFormat="1" ht="73.5" customHeight="1" x14ac:dyDescent="0.2">
      <c r="A35" s="574"/>
      <c r="B35" s="36"/>
      <c r="C35" s="37" t="s">
        <v>39</v>
      </c>
      <c r="D35" s="358" t="s">
        <v>15</v>
      </c>
      <c r="E35" s="22"/>
      <c r="F35" s="358" t="s">
        <v>13</v>
      </c>
      <c r="G35" s="20">
        <v>0</v>
      </c>
      <c r="H35" s="15">
        <f>5000-830</f>
        <v>4170</v>
      </c>
      <c r="I35" s="15">
        <v>2000</v>
      </c>
      <c r="J35" s="15">
        <v>2500</v>
      </c>
      <c r="K35" s="15">
        <v>0</v>
      </c>
      <c r="L35" s="15">
        <v>3500</v>
      </c>
      <c r="M35" s="15">
        <v>2000</v>
      </c>
      <c r="N35" s="15">
        <f>2000-2000</f>
        <v>0</v>
      </c>
      <c r="O35" s="15">
        <f t="shared" si="0"/>
        <v>14170</v>
      </c>
      <c r="P35" s="15">
        <v>0</v>
      </c>
      <c r="Q35" s="15">
        <v>0</v>
      </c>
      <c r="R35" s="15">
        <v>5000</v>
      </c>
      <c r="S35" s="15">
        <v>5000</v>
      </c>
      <c r="T35" s="15">
        <v>5000</v>
      </c>
      <c r="U35" s="15">
        <f t="shared" si="1"/>
        <v>29170</v>
      </c>
      <c r="V35" s="16">
        <f t="shared" si="2"/>
        <v>0</v>
      </c>
      <c r="W35" s="16"/>
    </row>
    <row r="36" spans="1:23" s="17" customFormat="1" ht="41.25" customHeight="1" x14ac:dyDescent="0.2">
      <c r="A36" s="575"/>
      <c r="B36" s="36"/>
      <c r="C36" s="359" t="s">
        <v>40</v>
      </c>
      <c r="D36" s="40" t="s">
        <v>29</v>
      </c>
      <c r="E36" s="22"/>
      <c r="F36" s="41" t="s">
        <v>13</v>
      </c>
      <c r="G36" s="15">
        <v>0</v>
      </c>
      <c r="H36" s="20">
        <v>60000</v>
      </c>
      <c r="I36" s="20">
        <v>0</v>
      </c>
      <c r="J36" s="20">
        <v>0</v>
      </c>
      <c r="K36" s="20">
        <v>0</v>
      </c>
      <c r="L36" s="20">
        <f>60000-1000-4500</f>
        <v>54500</v>
      </c>
      <c r="M36" s="20">
        <f>66000</f>
        <v>66000</v>
      </c>
      <c r="N36" s="20">
        <f>72600-72600</f>
        <v>0</v>
      </c>
      <c r="O36" s="20">
        <f t="shared" si="0"/>
        <v>180500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15">
        <f t="shared" si="1"/>
        <v>180500</v>
      </c>
      <c r="V36" s="16">
        <f t="shared" si="2"/>
        <v>0</v>
      </c>
      <c r="W36" s="16"/>
    </row>
    <row r="37" spans="1:23" s="17" customFormat="1" ht="40.5" x14ac:dyDescent="0.2">
      <c r="A37" s="575"/>
      <c r="B37" s="36"/>
      <c r="C37" s="198" t="s">
        <v>41</v>
      </c>
      <c r="D37" s="349" t="s">
        <v>18</v>
      </c>
      <c r="E37" s="22"/>
      <c r="F37" s="358" t="s">
        <v>13</v>
      </c>
      <c r="G37" s="15">
        <f>30893.1-20000</f>
        <v>10893.099999999999</v>
      </c>
      <c r="H37" s="20">
        <v>0</v>
      </c>
      <c r="I37" s="20">
        <v>33783</v>
      </c>
      <c r="J37" s="20">
        <v>44021.8</v>
      </c>
      <c r="K37" s="20">
        <v>61825.56</v>
      </c>
      <c r="L37" s="20">
        <v>0</v>
      </c>
      <c r="M37" s="20">
        <v>0</v>
      </c>
      <c r="N37" s="20">
        <v>0</v>
      </c>
      <c r="O37" s="20">
        <f t="shared" si="0"/>
        <v>150523.46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15">
        <f t="shared" si="1"/>
        <v>150523.46</v>
      </c>
      <c r="V37" s="16">
        <f t="shared" si="2"/>
        <v>0</v>
      </c>
      <c r="W37" s="16"/>
    </row>
    <row r="38" spans="1:23" s="17" customFormat="1" ht="57" customHeight="1" x14ac:dyDescent="0.2">
      <c r="A38" s="636"/>
      <c r="B38" s="327"/>
      <c r="C38" s="198" t="s">
        <v>42</v>
      </c>
      <c r="D38" s="349" t="s">
        <v>18</v>
      </c>
      <c r="E38" s="47"/>
      <c r="F38" s="358" t="s">
        <v>13</v>
      </c>
      <c r="G38" s="15">
        <v>0</v>
      </c>
      <c r="H38" s="20">
        <v>0</v>
      </c>
      <c r="I38" s="20">
        <v>3000</v>
      </c>
      <c r="J38" s="20">
        <v>2597.8000000000002</v>
      </c>
      <c r="K38" s="20">
        <v>1300</v>
      </c>
      <c r="L38" s="20">
        <v>0</v>
      </c>
      <c r="M38" s="20">
        <v>0</v>
      </c>
      <c r="N38" s="20">
        <v>0</v>
      </c>
      <c r="O38" s="20">
        <f t="shared" si="0"/>
        <v>6897.8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5">
        <f t="shared" si="1"/>
        <v>6897.8</v>
      </c>
      <c r="V38" s="16">
        <f t="shared" si="2"/>
        <v>0</v>
      </c>
      <c r="W38" s="16"/>
    </row>
    <row r="39" spans="1:23" s="17" customFormat="1" ht="42" customHeight="1" x14ac:dyDescent="0.2">
      <c r="A39" s="22"/>
      <c r="B39" s="36"/>
      <c r="C39" s="37" t="s">
        <v>43</v>
      </c>
      <c r="D39" s="43" t="s">
        <v>44</v>
      </c>
      <c r="E39" s="22"/>
      <c r="F39" s="43" t="s">
        <v>13</v>
      </c>
      <c r="G39" s="15">
        <f t="shared" ref="G39:T39" si="3">SUM(G41:G54)</f>
        <v>0</v>
      </c>
      <c r="H39" s="15">
        <f t="shared" si="3"/>
        <v>0</v>
      </c>
      <c r="I39" s="15">
        <f t="shared" si="3"/>
        <v>0</v>
      </c>
      <c r="J39" s="15">
        <f t="shared" si="3"/>
        <v>2300</v>
      </c>
      <c r="K39" s="15">
        <f t="shared" si="3"/>
        <v>0</v>
      </c>
      <c r="L39" s="15">
        <f t="shared" si="3"/>
        <v>15850</v>
      </c>
      <c r="M39" s="15">
        <f t="shared" si="3"/>
        <v>9150</v>
      </c>
      <c r="N39" s="15">
        <f t="shared" si="3"/>
        <v>19500</v>
      </c>
      <c r="O39" s="15">
        <f t="shared" si="0"/>
        <v>46800</v>
      </c>
      <c r="P39" s="15">
        <f t="shared" si="3"/>
        <v>26600</v>
      </c>
      <c r="Q39" s="15">
        <f t="shared" si="3"/>
        <v>19250</v>
      </c>
      <c r="R39" s="15">
        <f t="shared" si="3"/>
        <v>8900</v>
      </c>
      <c r="S39" s="15">
        <f t="shared" si="3"/>
        <v>5300</v>
      </c>
      <c r="T39" s="15">
        <f t="shared" si="3"/>
        <v>5500</v>
      </c>
      <c r="U39" s="15">
        <f t="shared" si="1"/>
        <v>112350</v>
      </c>
      <c r="V39" s="16">
        <f t="shared" si="2"/>
        <v>0</v>
      </c>
      <c r="W39" s="16"/>
    </row>
    <row r="40" spans="1:23" s="17" customFormat="1" ht="15.75" customHeight="1" x14ac:dyDescent="0.2">
      <c r="A40" s="22"/>
      <c r="B40" s="36"/>
      <c r="C40" s="37" t="s">
        <v>45</v>
      </c>
      <c r="D40" s="22"/>
      <c r="E40" s="22"/>
      <c r="F40" s="22"/>
      <c r="G40" s="15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15"/>
      <c r="V40" s="16">
        <f t="shared" si="2"/>
        <v>0</v>
      </c>
      <c r="W40" s="16"/>
    </row>
    <row r="41" spans="1:23" s="17" customFormat="1" ht="35.25" customHeight="1" x14ac:dyDescent="0.2">
      <c r="A41" s="22"/>
      <c r="B41" s="36"/>
      <c r="C41" s="37" t="s">
        <v>46</v>
      </c>
      <c r="D41" s="22"/>
      <c r="E41" s="22"/>
      <c r="F41" s="22"/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5">
        <v>3500</v>
      </c>
      <c r="M41" s="45">
        <f>900-350-350</f>
        <v>200</v>
      </c>
      <c r="N41" s="45">
        <v>0</v>
      </c>
      <c r="O41" s="45">
        <f t="shared" si="0"/>
        <v>3700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15">
        <f t="shared" si="1"/>
        <v>3700</v>
      </c>
      <c r="V41" s="16">
        <f t="shared" si="2"/>
        <v>0</v>
      </c>
      <c r="W41" s="16"/>
    </row>
    <row r="42" spans="1:23" s="17" customFormat="1" ht="24.75" customHeight="1" x14ac:dyDescent="0.2">
      <c r="A42" s="22"/>
      <c r="B42" s="36"/>
      <c r="C42" s="37" t="s">
        <v>47</v>
      </c>
      <c r="D42" s="22"/>
      <c r="E42" s="46"/>
      <c r="F42" s="22"/>
      <c r="G42" s="44">
        <v>0</v>
      </c>
      <c r="H42" s="44">
        <v>0</v>
      </c>
      <c r="I42" s="44">
        <v>0</v>
      </c>
      <c r="J42" s="44">
        <v>2300</v>
      </c>
      <c r="K42" s="44">
        <v>0</v>
      </c>
      <c r="L42" s="45">
        <f>5100-450</f>
        <v>4650</v>
      </c>
      <c r="M42" s="45">
        <v>2800</v>
      </c>
      <c r="N42" s="45">
        <v>0</v>
      </c>
      <c r="O42" s="45">
        <f t="shared" si="0"/>
        <v>9750</v>
      </c>
      <c r="P42" s="45">
        <v>5500</v>
      </c>
      <c r="Q42" s="45">
        <v>5200</v>
      </c>
      <c r="R42" s="45">
        <v>0</v>
      </c>
      <c r="S42" s="45">
        <v>0</v>
      </c>
      <c r="T42" s="45">
        <v>5500</v>
      </c>
      <c r="U42" s="15">
        <f t="shared" si="1"/>
        <v>25950</v>
      </c>
      <c r="V42" s="16">
        <f t="shared" si="2"/>
        <v>0</v>
      </c>
      <c r="W42" s="16"/>
    </row>
    <row r="43" spans="1:23" s="17" customFormat="1" ht="26.25" customHeight="1" x14ac:dyDescent="0.2">
      <c r="A43" s="22"/>
      <c r="B43" s="36"/>
      <c r="C43" s="37" t="s">
        <v>48</v>
      </c>
      <c r="D43" s="22"/>
      <c r="E43" s="22"/>
      <c r="F43" s="22"/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5">
        <f>4000+375</f>
        <v>4375</v>
      </c>
      <c r="M43" s="45">
        <v>4300</v>
      </c>
      <c r="N43" s="45">
        <f>4500+1600</f>
        <v>6100</v>
      </c>
      <c r="O43" s="45">
        <f t="shared" si="0"/>
        <v>14775</v>
      </c>
      <c r="P43" s="45">
        <f>7000+500</f>
        <v>7500</v>
      </c>
      <c r="Q43" s="45">
        <v>6500</v>
      </c>
      <c r="R43" s="45">
        <v>0</v>
      </c>
      <c r="S43" s="45">
        <v>0</v>
      </c>
      <c r="T43" s="45">
        <v>0</v>
      </c>
      <c r="U43" s="15">
        <f t="shared" si="1"/>
        <v>28775</v>
      </c>
      <c r="V43" s="16">
        <f t="shared" si="2"/>
        <v>0</v>
      </c>
      <c r="W43" s="16"/>
    </row>
    <row r="44" spans="1:23" s="17" customFormat="1" ht="18" customHeight="1" x14ac:dyDescent="0.2">
      <c r="A44" s="22"/>
      <c r="B44" s="36"/>
      <c r="C44" s="37" t="s">
        <v>49</v>
      </c>
      <c r="D44" s="22"/>
      <c r="E44" s="22"/>
      <c r="F44" s="22"/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5">
        <v>0</v>
      </c>
      <c r="M44" s="45">
        <f>850+350</f>
        <v>1200</v>
      </c>
      <c r="N44" s="45">
        <f>735-735</f>
        <v>0</v>
      </c>
      <c r="O44" s="45">
        <f t="shared" si="0"/>
        <v>1200</v>
      </c>
      <c r="P44" s="45">
        <v>0</v>
      </c>
      <c r="Q44" s="45">
        <v>1200</v>
      </c>
      <c r="R44" s="45">
        <v>1300</v>
      </c>
      <c r="S44" s="45">
        <v>0</v>
      </c>
      <c r="T44" s="45">
        <v>0</v>
      </c>
      <c r="U44" s="15">
        <f t="shared" si="1"/>
        <v>3700</v>
      </c>
      <c r="V44" s="16">
        <f t="shared" si="2"/>
        <v>0</v>
      </c>
      <c r="W44" s="16"/>
    </row>
    <row r="45" spans="1:23" s="17" customFormat="1" ht="21.75" customHeight="1" x14ac:dyDescent="0.2">
      <c r="A45" s="22"/>
      <c r="B45" s="36"/>
      <c r="C45" s="37" t="s">
        <v>50</v>
      </c>
      <c r="D45" s="22"/>
      <c r="E45" s="22"/>
      <c r="F45" s="22"/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5">
        <v>0</v>
      </c>
      <c r="M45" s="45">
        <f>300+350</f>
        <v>650</v>
      </c>
      <c r="N45" s="45">
        <v>0</v>
      </c>
      <c r="O45" s="45">
        <f t="shared" si="0"/>
        <v>650</v>
      </c>
      <c r="P45" s="45">
        <v>0</v>
      </c>
      <c r="Q45" s="45">
        <v>250</v>
      </c>
      <c r="R45" s="45">
        <v>300</v>
      </c>
      <c r="S45" s="45">
        <v>0</v>
      </c>
      <c r="T45" s="45">
        <v>0</v>
      </c>
      <c r="U45" s="15">
        <f t="shared" si="1"/>
        <v>1200</v>
      </c>
      <c r="V45" s="16">
        <f t="shared" si="2"/>
        <v>0</v>
      </c>
      <c r="W45" s="16"/>
    </row>
    <row r="46" spans="1:23" s="17" customFormat="1" ht="23.25" customHeight="1" x14ac:dyDescent="0.2">
      <c r="A46" s="22"/>
      <c r="B46" s="36"/>
      <c r="C46" s="37" t="s">
        <v>51</v>
      </c>
      <c r="D46" s="22"/>
      <c r="E46" s="22"/>
      <c r="F46" s="22"/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5">
        <v>2875</v>
      </c>
      <c r="M46" s="45">
        <v>0</v>
      </c>
      <c r="N46" s="45">
        <v>0</v>
      </c>
      <c r="O46" s="45">
        <f t="shared" si="0"/>
        <v>2875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15">
        <f t="shared" si="1"/>
        <v>2875</v>
      </c>
      <c r="V46" s="16">
        <f t="shared" si="2"/>
        <v>0</v>
      </c>
      <c r="W46" s="16"/>
    </row>
    <row r="47" spans="1:23" s="17" customFormat="1" ht="21" customHeight="1" x14ac:dyDescent="0.2">
      <c r="A47" s="22"/>
      <c r="B47" s="62"/>
      <c r="C47" s="37" t="s">
        <v>52</v>
      </c>
      <c r="D47" s="22"/>
      <c r="E47" s="22"/>
      <c r="F47" s="22"/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5">
        <v>450</v>
      </c>
      <c r="M47" s="44">
        <v>0</v>
      </c>
      <c r="N47" s="44">
        <v>0</v>
      </c>
      <c r="O47" s="44">
        <f t="shared" si="0"/>
        <v>450</v>
      </c>
      <c r="P47" s="44">
        <v>0</v>
      </c>
      <c r="Q47" s="44">
        <v>300</v>
      </c>
      <c r="R47" s="44">
        <v>300</v>
      </c>
      <c r="S47" s="44">
        <v>300</v>
      </c>
      <c r="T47" s="44">
        <v>0</v>
      </c>
      <c r="U47" s="15">
        <f t="shared" si="1"/>
        <v>1350</v>
      </c>
      <c r="V47" s="16">
        <f t="shared" si="2"/>
        <v>0</v>
      </c>
      <c r="W47" s="16"/>
    </row>
    <row r="48" spans="1:23" s="17" customFormat="1" ht="36.75" customHeight="1" x14ac:dyDescent="0.2">
      <c r="A48" s="22"/>
      <c r="B48" s="36"/>
      <c r="C48" s="48" t="s">
        <v>53</v>
      </c>
      <c r="D48" s="49"/>
      <c r="E48" s="22"/>
      <c r="F48" s="22"/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1">
        <v>0</v>
      </c>
      <c r="M48" s="50">
        <v>0</v>
      </c>
      <c r="N48" s="50">
        <v>6000</v>
      </c>
      <c r="O48" s="50">
        <f t="shared" si="0"/>
        <v>6000</v>
      </c>
      <c r="P48" s="50">
        <v>7500</v>
      </c>
      <c r="Q48" s="50">
        <v>0</v>
      </c>
      <c r="R48" s="50">
        <v>0</v>
      </c>
      <c r="S48" s="50">
        <v>0</v>
      </c>
      <c r="T48" s="50">
        <v>0</v>
      </c>
      <c r="U48" s="52">
        <f t="shared" si="1"/>
        <v>13500</v>
      </c>
      <c r="V48" s="16">
        <f t="shared" si="2"/>
        <v>0</v>
      </c>
      <c r="W48" s="16"/>
    </row>
    <row r="49" spans="1:23" s="17" customFormat="1" ht="22.5" customHeight="1" x14ac:dyDescent="0.2">
      <c r="A49" s="22"/>
      <c r="B49" s="36"/>
      <c r="C49" s="37" t="s">
        <v>54</v>
      </c>
      <c r="D49" s="49"/>
      <c r="E49" s="22"/>
      <c r="F49" s="22"/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5">
        <v>0</v>
      </c>
      <c r="M49" s="44">
        <v>0</v>
      </c>
      <c r="N49" s="44">
        <v>5200</v>
      </c>
      <c r="O49" s="44">
        <f t="shared" si="0"/>
        <v>5200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15">
        <f t="shared" si="1"/>
        <v>5200</v>
      </c>
      <c r="V49" s="16">
        <f t="shared" si="2"/>
        <v>0</v>
      </c>
      <c r="W49" s="16"/>
    </row>
    <row r="50" spans="1:23" s="17" customFormat="1" ht="23.25" customHeight="1" x14ac:dyDescent="0.2">
      <c r="A50" s="22"/>
      <c r="B50" s="36"/>
      <c r="C50" s="37" t="s">
        <v>55</v>
      </c>
      <c r="D50" s="49"/>
      <c r="E50" s="22"/>
      <c r="F50" s="22"/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5">
        <v>0</v>
      </c>
      <c r="M50" s="44">
        <v>0</v>
      </c>
      <c r="N50" s="44">
        <v>2200</v>
      </c>
      <c r="O50" s="44">
        <f t="shared" si="0"/>
        <v>2200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15">
        <f t="shared" si="1"/>
        <v>2200</v>
      </c>
      <c r="V50" s="16">
        <f t="shared" si="2"/>
        <v>0</v>
      </c>
      <c r="W50" s="16"/>
    </row>
    <row r="51" spans="1:23" s="17" customFormat="1" ht="21.75" customHeight="1" x14ac:dyDescent="0.2">
      <c r="A51" s="22"/>
      <c r="B51" s="36"/>
      <c r="C51" s="48" t="s">
        <v>56</v>
      </c>
      <c r="D51" s="53"/>
      <c r="E51" s="22"/>
      <c r="F51" s="53"/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5">
        <v>0</v>
      </c>
      <c r="M51" s="44">
        <v>0</v>
      </c>
      <c r="N51" s="44">
        <v>0</v>
      </c>
      <c r="O51" s="44">
        <f t="shared" si="0"/>
        <v>0</v>
      </c>
      <c r="P51" s="44">
        <v>0</v>
      </c>
      <c r="Q51" s="44">
        <v>1000</v>
      </c>
      <c r="R51" s="44">
        <v>0</v>
      </c>
      <c r="S51" s="44">
        <v>0</v>
      </c>
      <c r="T51" s="44">
        <v>0</v>
      </c>
      <c r="U51" s="15">
        <f t="shared" si="1"/>
        <v>1000</v>
      </c>
      <c r="V51" s="16">
        <f t="shared" si="2"/>
        <v>0</v>
      </c>
      <c r="W51" s="16"/>
    </row>
    <row r="52" spans="1:23" s="17" customFormat="1" ht="21.75" customHeight="1" x14ac:dyDescent="0.2">
      <c r="A52" s="22"/>
      <c r="B52" s="36"/>
      <c r="C52" s="48" t="s">
        <v>57</v>
      </c>
      <c r="D52" s="53"/>
      <c r="E52" s="22"/>
      <c r="F52" s="53"/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f t="shared" si="0"/>
        <v>0</v>
      </c>
      <c r="P52" s="44">
        <v>0</v>
      </c>
      <c r="Q52" s="44">
        <v>0</v>
      </c>
      <c r="R52" s="44">
        <v>7000</v>
      </c>
      <c r="S52" s="44">
        <v>0</v>
      </c>
      <c r="T52" s="44">
        <v>0</v>
      </c>
      <c r="U52" s="15">
        <f t="shared" si="1"/>
        <v>7000</v>
      </c>
      <c r="V52" s="16">
        <f t="shared" si="2"/>
        <v>0</v>
      </c>
      <c r="W52" s="16"/>
    </row>
    <row r="53" spans="1:23" s="17" customFormat="1" ht="21.75" customHeight="1" x14ac:dyDescent="0.2">
      <c r="A53" s="22"/>
      <c r="B53" s="36"/>
      <c r="C53" s="48" t="s">
        <v>58</v>
      </c>
      <c r="D53" s="53"/>
      <c r="E53" s="22"/>
      <c r="F53" s="53"/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f t="shared" si="0"/>
        <v>0</v>
      </c>
      <c r="P53" s="44">
        <v>0</v>
      </c>
      <c r="Q53" s="44">
        <v>4800</v>
      </c>
      <c r="R53" s="44">
        <v>0</v>
      </c>
      <c r="S53" s="44">
        <v>5000</v>
      </c>
      <c r="T53" s="44">
        <v>0</v>
      </c>
      <c r="U53" s="15">
        <f t="shared" si="1"/>
        <v>9800</v>
      </c>
      <c r="V53" s="16">
        <f t="shared" si="2"/>
        <v>0</v>
      </c>
      <c r="W53" s="16"/>
    </row>
    <row r="54" spans="1:23" s="17" customFormat="1" ht="24.75" customHeight="1" x14ac:dyDescent="0.2">
      <c r="A54" s="22"/>
      <c r="B54" s="36"/>
      <c r="C54" s="48" t="s">
        <v>59</v>
      </c>
      <c r="D54" s="53"/>
      <c r="E54" s="22"/>
      <c r="F54" s="53"/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f t="shared" si="0"/>
        <v>0</v>
      </c>
      <c r="P54" s="44">
        <v>6100</v>
      </c>
      <c r="Q54" s="44">
        <v>0</v>
      </c>
      <c r="R54" s="44">
        <v>0</v>
      </c>
      <c r="S54" s="44">
        <v>0</v>
      </c>
      <c r="T54" s="44">
        <v>0</v>
      </c>
      <c r="U54" s="15">
        <f t="shared" si="1"/>
        <v>6100</v>
      </c>
      <c r="V54" s="16">
        <f t="shared" si="2"/>
        <v>0</v>
      </c>
      <c r="W54" s="16"/>
    </row>
    <row r="55" spans="1:23" s="17" customFormat="1" ht="48.75" customHeight="1" x14ac:dyDescent="0.2">
      <c r="A55" s="22"/>
      <c r="B55" s="30"/>
      <c r="C55" s="360" t="s">
        <v>60</v>
      </c>
      <c r="D55" s="55" t="s">
        <v>61</v>
      </c>
      <c r="E55" s="22"/>
      <c r="F55" s="361" t="s">
        <v>13</v>
      </c>
      <c r="G55" s="15">
        <v>0</v>
      </c>
      <c r="H55" s="15">
        <v>0</v>
      </c>
      <c r="I55" s="15">
        <v>0</v>
      </c>
      <c r="J55" s="15">
        <v>2000</v>
      </c>
      <c r="K55" s="15">
        <v>1760.9</v>
      </c>
      <c r="L55" s="15">
        <f>2000+2100</f>
        <v>4100</v>
      </c>
      <c r="M55" s="15">
        <f>2500+3000+2149.3</f>
        <v>7649.3</v>
      </c>
      <c r="N55" s="15">
        <f>3000+10000+2000+13790</f>
        <v>28790</v>
      </c>
      <c r="O55" s="15">
        <f t="shared" si="0"/>
        <v>44300.2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f t="shared" si="1"/>
        <v>44300.2</v>
      </c>
      <c r="V55" s="16">
        <f t="shared" si="2"/>
        <v>0</v>
      </c>
      <c r="W55" s="16"/>
    </row>
    <row r="56" spans="1:23" s="17" customFormat="1" ht="53.25" customHeight="1" x14ac:dyDescent="0.2">
      <c r="A56" s="22"/>
      <c r="B56" s="30"/>
      <c r="C56" s="356" t="s">
        <v>62</v>
      </c>
      <c r="D56" s="56" t="s">
        <v>61</v>
      </c>
      <c r="E56" s="22"/>
      <c r="F56" s="362" t="s">
        <v>13</v>
      </c>
      <c r="G56" s="15">
        <v>0</v>
      </c>
      <c r="H56" s="15">
        <v>0</v>
      </c>
      <c r="I56" s="15">
        <v>0</v>
      </c>
      <c r="J56" s="15">
        <v>7900</v>
      </c>
      <c r="K56" s="15">
        <v>6611.6</v>
      </c>
      <c r="L56" s="15">
        <v>10000</v>
      </c>
      <c r="M56" s="15">
        <f>14000-2149.3</f>
        <v>11850.7</v>
      </c>
      <c r="N56" s="15">
        <f>20000-10000</f>
        <v>10000</v>
      </c>
      <c r="O56" s="15">
        <f t="shared" si="0"/>
        <v>46362.3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f t="shared" si="1"/>
        <v>46362.3</v>
      </c>
      <c r="V56" s="16">
        <f t="shared" si="2"/>
        <v>0</v>
      </c>
      <c r="W56" s="16"/>
    </row>
    <row r="57" spans="1:23" s="17" customFormat="1" ht="40.5" customHeight="1" x14ac:dyDescent="0.2">
      <c r="A57" s="22"/>
      <c r="B57" s="30"/>
      <c r="C57" s="363" t="s">
        <v>63</v>
      </c>
      <c r="D57" s="354" t="s">
        <v>61</v>
      </c>
      <c r="E57" s="22"/>
      <c r="F57" s="364" t="s">
        <v>13</v>
      </c>
      <c r="G57" s="15">
        <v>0</v>
      </c>
      <c r="H57" s="15">
        <v>0</v>
      </c>
      <c r="I57" s="15">
        <v>0</v>
      </c>
      <c r="J57" s="15">
        <v>1600</v>
      </c>
      <c r="K57" s="15">
        <v>5500</v>
      </c>
      <c r="L57" s="15">
        <f>7600-3900</f>
        <v>3700</v>
      </c>
      <c r="M57" s="15">
        <f>8360-8360</f>
        <v>0</v>
      </c>
      <c r="N57" s="15">
        <f>9200-9200</f>
        <v>0</v>
      </c>
      <c r="O57" s="15">
        <f t="shared" si="0"/>
        <v>10800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f t="shared" si="1"/>
        <v>10800</v>
      </c>
      <c r="V57" s="16">
        <f t="shared" si="2"/>
        <v>0</v>
      </c>
      <c r="W57" s="16"/>
    </row>
    <row r="58" spans="1:23" s="17" customFormat="1" ht="63" customHeight="1" x14ac:dyDescent="0.2">
      <c r="A58" s="22"/>
      <c r="B58" s="36"/>
      <c r="C58" s="198" t="s">
        <v>64</v>
      </c>
      <c r="D58" s="199" t="s">
        <v>44</v>
      </c>
      <c r="E58" s="24"/>
      <c r="F58" s="349" t="s">
        <v>13</v>
      </c>
      <c r="G58" s="15">
        <v>0</v>
      </c>
      <c r="H58" s="20">
        <v>0</v>
      </c>
      <c r="I58" s="20">
        <v>0</v>
      </c>
      <c r="J58" s="20">
        <v>6000</v>
      </c>
      <c r="K58" s="20">
        <v>13000</v>
      </c>
      <c r="L58" s="20">
        <v>1260</v>
      </c>
      <c r="M58" s="20">
        <v>1385</v>
      </c>
      <c r="N58" s="20">
        <v>1525</v>
      </c>
      <c r="O58" s="20">
        <f t="shared" si="0"/>
        <v>23170</v>
      </c>
      <c r="P58" s="20">
        <v>0</v>
      </c>
      <c r="Q58" s="20">
        <v>1300</v>
      </c>
      <c r="R58" s="20">
        <v>1500</v>
      </c>
      <c r="S58" s="20">
        <v>2000</v>
      </c>
      <c r="T58" s="20">
        <v>2500</v>
      </c>
      <c r="U58" s="15">
        <f t="shared" si="1"/>
        <v>30470</v>
      </c>
      <c r="V58" s="16">
        <f t="shared" si="2"/>
        <v>0</v>
      </c>
      <c r="W58" s="16"/>
    </row>
    <row r="59" spans="1:23" s="17" customFormat="1" ht="54.75" customHeight="1" x14ac:dyDescent="0.2">
      <c r="A59" s="574"/>
      <c r="B59" s="36"/>
      <c r="C59" s="198" t="s">
        <v>65</v>
      </c>
      <c r="D59" s="199" t="s">
        <v>61</v>
      </c>
      <c r="E59" s="24"/>
      <c r="F59" s="349" t="s">
        <v>13</v>
      </c>
      <c r="G59" s="15">
        <v>0</v>
      </c>
      <c r="H59" s="20">
        <v>0</v>
      </c>
      <c r="I59" s="20">
        <v>0</v>
      </c>
      <c r="J59" s="20">
        <v>2500</v>
      </c>
      <c r="K59" s="20">
        <v>7500</v>
      </c>
      <c r="L59" s="20">
        <v>1835.7</v>
      </c>
      <c r="M59" s="20">
        <f>8500</f>
        <v>8500</v>
      </c>
      <c r="N59" s="20">
        <v>0</v>
      </c>
      <c r="O59" s="20">
        <f t="shared" si="0"/>
        <v>20335.7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f t="shared" si="1"/>
        <v>20335.7</v>
      </c>
      <c r="V59" s="16">
        <f t="shared" si="2"/>
        <v>0</v>
      </c>
      <c r="W59" s="16"/>
    </row>
    <row r="60" spans="1:23" s="17" customFormat="1" ht="71.25" customHeight="1" x14ac:dyDescent="0.2">
      <c r="A60" s="575"/>
      <c r="B60" s="36"/>
      <c r="C60" s="198" t="s">
        <v>66</v>
      </c>
      <c r="D60" s="199" t="s">
        <v>44</v>
      </c>
      <c r="E60" s="24"/>
      <c r="F60" s="349" t="s">
        <v>13</v>
      </c>
      <c r="G60" s="15">
        <v>0</v>
      </c>
      <c r="H60" s="20">
        <v>0</v>
      </c>
      <c r="I60" s="20">
        <v>0</v>
      </c>
      <c r="J60" s="20">
        <v>0</v>
      </c>
      <c r="K60" s="20">
        <v>1000</v>
      </c>
      <c r="L60" s="20">
        <v>10000</v>
      </c>
      <c r="M60" s="20">
        <f>10000-8500</f>
        <v>1500</v>
      </c>
      <c r="N60" s="20">
        <v>0</v>
      </c>
      <c r="O60" s="20">
        <f t="shared" si="0"/>
        <v>12500</v>
      </c>
      <c r="P60" s="20">
        <v>0</v>
      </c>
      <c r="Q60" s="20">
        <v>1000</v>
      </c>
      <c r="R60" s="20">
        <v>0</v>
      </c>
      <c r="S60" s="20">
        <v>0</v>
      </c>
      <c r="T60" s="20">
        <v>0</v>
      </c>
      <c r="U60" s="15">
        <f t="shared" si="1"/>
        <v>13500</v>
      </c>
      <c r="V60" s="16">
        <f t="shared" si="2"/>
        <v>0</v>
      </c>
      <c r="W60" s="16"/>
    </row>
    <row r="61" spans="1:23" s="17" customFormat="1" ht="46.5" customHeight="1" x14ac:dyDescent="0.2">
      <c r="A61" s="22"/>
      <c r="B61" s="36"/>
      <c r="C61" s="198" t="s">
        <v>67</v>
      </c>
      <c r="D61" s="199" t="s">
        <v>68</v>
      </c>
      <c r="E61" s="24"/>
      <c r="F61" s="349" t="s">
        <v>13</v>
      </c>
      <c r="G61" s="15">
        <v>0</v>
      </c>
      <c r="H61" s="20">
        <v>0</v>
      </c>
      <c r="I61" s="20">
        <v>0</v>
      </c>
      <c r="J61" s="20">
        <v>0</v>
      </c>
      <c r="K61" s="20">
        <v>7950</v>
      </c>
      <c r="L61" s="20">
        <v>0</v>
      </c>
      <c r="M61" s="20">
        <v>0</v>
      </c>
      <c r="N61" s="20">
        <v>0</v>
      </c>
      <c r="O61" s="20">
        <f t="shared" si="0"/>
        <v>7950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f t="shared" si="1"/>
        <v>7950</v>
      </c>
      <c r="V61" s="16">
        <f t="shared" si="2"/>
        <v>0</v>
      </c>
      <c r="W61" s="16"/>
    </row>
    <row r="62" spans="1:23" s="17" customFormat="1" ht="50.25" customHeight="1" x14ac:dyDescent="0.2">
      <c r="A62" s="47"/>
      <c r="B62" s="328"/>
      <c r="C62" s="198" t="s">
        <v>69</v>
      </c>
      <c r="D62" s="199" t="s">
        <v>61</v>
      </c>
      <c r="E62" s="326"/>
      <c r="F62" s="349" t="s">
        <v>13</v>
      </c>
      <c r="G62" s="15">
        <v>0</v>
      </c>
      <c r="H62" s="20">
        <v>0</v>
      </c>
      <c r="I62" s="20">
        <v>0</v>
      </c>
      <c r="J62" s="20">
        <v>0</v>
      </c>
      <c r="K62" s="20">
        <v>1000</v>
      </c>
      <c r="L62" s="20">
        <v>10000</v>
      </c>
      <c r="M62" s="20">
        <f>4000-2250</f>
        <v>1750</v>
      </c>
      <c r="N62" s="20">
        <v>0</v>
      </c>
      <c r="O62" s="20">
        <f t="shared" si="0"/>
        <v>12750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f t="shared" si="1"/>
        <v>12750</v>
      </c>
      <c r="V62" s="16">
        <f t="shared" si="2"/>
        <v>0</v>
      </c>
      <c r="W62" s="16"/>
    </row>
    <row r="63" spans="1:23" s="17" customFormat="1" ht="51" customHeight="1" x14ac:dyDescent="0.2">
      <c r="A63" s="22"/>
      <c r="B63" s="82"/>
      <c r="C63" s="365" t="s">
        <v>70</v>
      </c>
      <c r="D63" s="350" t="s">
        <v>71</v>
      </c>
      <c r="E63" s="341"/>
      <c r="F63" s="357" t="s">
        <v>13</v>
      </c>
      <c r="G63" s="15">
        <v>0</v>
      </c>
      <c r="H63" s="20">
        <v>0</v>
      </c>
      <c r="I63" s="20">
        <v>0</v>
      </c>
      <c r="J63" s="20">
        <v>0</v>
      </c>
      <c r="K63" s="20">
        <v>0</v>
      </c>
      <c r="L63" s="20">
        <v>2000</v>
      </c>
      <c r="M63" s="20">
        <v>7000</v>
      </c>
      <c r="N63" s="20">
        <v>10000</v>
      </c>
      <c r="O63" s="20">
        <f t="shared" si="0"/>
        <v>19000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f t="shared" si="1"/>
        <v>19000</v>
      </c>
      <c r="V63" s="16">
        <f t="shared" si="2"/>
        <v>0</v>
      </c>
      <c r="W63" s="16"/>
    </row>
    <row r="64" spans="1:23" s="17" customFormat="1" ht="52.5" customHeight="1" x14ac:dyDescent="0.2">
      <c r="A64" s="22"/>
      <c r="B64" s="19"/>
      <c r="C64" s="59" t="s">
        <v>72</v>
      </c>
      <c r="D64" s="60" t="s">
        <v>73</v>
      </c>
      <c r="E64" s="341"/>
      <c r="F64" s="56" t="s">
        <v>13</v>
      </c>
      <c r="G64" s="52">
        <v>0</v>
      </c>
      <c r="H64" s="61">
        <v>0</v>
      </c>
      <c r="I64" s="61">
        <v>0</v>
      </c>
      <c r="J64" s="61">
        <v>0</v>
      </c>
      <c r="K64" s="61">
        <v>0</v>
      </c>
      <c r="L64" s="61">
        <v>2000</v>
      </c>
      <c r="M64" s="61">
        <v>2000</v>
      </c>
      <c r="N64" s="61">
        <v>0</v>
      </c>
      <c r="O64" s="61">
        <f t="shared" si="0"/>
        <v>4000</v>
      </c>
      <c r="P64" s="61">
        <v>0</v>
      </c>
      <c r="Q64" s="61">
        <v>0</v>
      </c>
      <c r="R64" s="20">
        <v>5000</v>
      </c>
      <c r="S64" s="20">
        <v>0</v>
      </c>
      <c r="T64" s="20">
        <v>0</v>
      </c>
      <c r="U64" s="15">
        <f t="shared" si="1"/>
        <v>9000</v>
      </c>
      <c r="V64" s="16">
        <f t="shared" si="2"/>
        <v>0</v>
      </c>
      <c r="W64" s="16"/>
    </row>
    <row r="65" spans="1:23" s="17" customFormat="1" ht="71.25" customHeight="1" x14ac:dyDescent="0.2">
      <c r="A65" s="22"/>
      <c r="B65" s="62"/>
      <c r="C65" s="366" t="s">
        <v>74</v>
      </c>
      <c r="D65" s="199" t="s">
        <v>73</v>
      </c>
      <c r="E65" s="341"/>
      <c r="F65" s="349" t="s">
        <v>13</v>
      </c>
      <c r="G65" s="15">
        <v>0</v>
      </c>
      <c r="H65" s="20">
        <v>0</v>
      </c>
      <c r="I65" s="20">
        <v>0</v>
      </c>
      <c r="J65" s="20">
        <v>0</v>
      </c>
      <c r="K65" s="20">
        <v>0</v>
      </c>
      <c r="L65" s="20">
        <v>2000</v>
      </c>
      <c r="M65" s="20">
        <v>2000</v>
      </c>
      <c r="N65" s="20">
        <v>0</v>
      </c>
      <c r="O65" s="20">
        <f t="shared" si="0"/>
        <v>4000</v>
      </c>
      <c r="P65" s="20">
        <v>0</v>
      </c>
      <c r="Q65" s="20">
        <v>4200</v>
      </c>
      <c r="R65" s="20">
        <v>0</v>
      </c>
      <c r="S65" s="20">
        <v>0</v>
      </c>
      <c r="T65" s="20">
        <v>0</v>
      </c>
      <c r="U65" s="15">
        <f t="shared" si="1"/>
        <v>8200</v>
      </c>
      <c r="V65" s="16">
        <f t="shared" si="2"/>
        <v>0</v>
      </c>
      <c r="W65" s="16"/>
    </row>
    <row r="66" spans="1:23" s="17" customFormat="1" ht="51" customHeight="1" x14ac:dyDescent="0.2">
      <c r="A66" s="22"/>
      <c r="B66" s="62"/>
      <c r="C66" s="366" t="s">
        <v>75</v>
      </c>
      <c r="D66" s="199" t="s">
        <v>73</v>
      </c>
      <c r="E66" s="341"/>
      <c r="F66" s="349" t="s">
        <v>13</v>
      </c>
      <c r="G66" s="15">
        <v>0</v>
      </c>
      <c r="H66" s="20">
        <v>0</v>
      </c>
      <c r="I66" s="20">
        <v>0</v>
      </c>
      <c r="J66" s="20">
        <v>0</v>
      </c>
      <c r="K66" s="20">
        <v>0</v>
      </c>
      <c r="L66" s="20">
        <f>500+1000</f>
        <v>1500</v>
      </c>
      <c r="M66" s="20">
        <v>1000</v>
      </c>
      <c r="N66" s="20">
        <v>1500</v>
      </c>
      <c r="O66" s="20">
        <f t="shared" si="0"/>
        <v>4000</v>
      </c>
      <c r="P66" s="20">
        <v>2000</v>
      </c>
      <c r="Q66" s="20">
        <v>3000</v>
      </c>
      <c r="R66" s="20">
        <v>8000</v>
      </c>
      <c r="S66" s="20">
        <v>10000</v>
      </c>
      <c r="T66" s="20">
        <v>10000</v>
      </c>
      <c r="U66" s="15">
        <f t="shared" si="1"/>
        <v>37000</v>
      </c>
      <c r="V66" s="16">
        <f t="shared" si="2"/>
        <v>0</v>
      </c>
      <c r="W66" s="16"/>
    </row>
    <row r="67" spans="1:23" s="17" customFormat="1" ht="52.5" customHeight="1" x14ac:dyDescent="0.2">
      <c r="A67" s="22"/>
      <c r="B67" s="576"/>
      <c r="C67" s="366" t="s">
        <v>76</v>
      </c>
      <c r="D67" s="199" t="s">
        <v>73</v>
      </c>
      <c r="E67" s="341"/>
      <c r="F67" s="349" t="s">
        <v>13</v>
      </c>
      <c r="G67" s="15">
        <v>0</v>
      </c>
      <c r="H67" s="20">
        <v>0</v>
      </c>
      <c r="I67" s="20">
        <v>0</v>
      </c>
      <c r="J67" s="20">
        <v>0</v>
      </c>
      <c r="K67" s="20">
        <v>0</v>
      </c>
      <c r="L67" s="20">
        <v>1000</v>
      </c>
      <c r="M67" s="20">
        <v>3000</v>
      </c>
      <c r="N67" s="20">
        <f>3000-3000</f>
        <v>0</v>
      </c>
      <c r="O67" s="20">
        <f t="shared" si="0"/>
        <v>4000</v>
      </c>
      <c r="P67" s="20">
        <v>0</v>
      </c>
      <c r="Q67" s="20">
        <v>1500</v>
      </c>
      <c r="R67" s="20">
        <v>2000</v>
      </c>
      <c r="S67" s="20">
        <v>0</v>
      </c>
      <c r="T67" s="20">
        <v>0</v>
      </c>
      <c r="U67" s="15">
        <f t="shared" si="1"/>
        <v>7500</v>
      </c>
      <c r="V67" s="16">
        <f t="shared" si="2"/>
        <v>0</v>
      </c>
      <c r="W67" s="16"/>
    </row>
    <row r="68" spans="1:23" s="17" customFormat="1" ht="46.5" customHeight="1" x14ac:dyDescent="0.2">
      <c r="A68" s="574"/>
      <c r="B68" s="575"/>
      <c r="C68" s="366" t="s">
        <v>77</v>
      </c>
      <c r="D68" s="199" t="s">
        <v>73</v>
      </c>
      <c r="E68" s="341"/>
      <c r="F68" s="349" t="s">
        <v>13</v>
      </c>
      <c r="G68" s="15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6500</v>
      </c>
      <c r="N68" s="20">
        <v>0</v>
      </c>
      <c r="O68" s="20">
        <f t="shared" si="0"/>
        <v>6500</v>
      </c>
      <c r="P68" s="20">
        <v>0</v>
      </c>
      <c r="Q68" s="20">
        <v>0</v>
      </c>
      <c r="R68" s="20">
        <v>5500</v>
      </c>
      <c r="S68" s="20">
        <v>0</v>
      </c>
      <c r="T68" s="20">
        <v>0</v>
      </c>
      <c r="U68" s="15">
        <f t="shared" si="1"/>
        <v>12000</v>
      </c>
      <c r="V68" s="16">
        <f t="shared" si="2"/>
        <v>0</v>
      </c>
      <c r="W68" s="16"/>
    </row>
    <row r="69" spans="1:23" s="17" customFormat="1" ht="49.5" customHeight="1" x14ac:dyDescent="0.2">
      <c r="A69" s="575"/>
      <c r="B69" s="575"/>
      <c r="C69" s="366" t="s">
        <v>78</v>
      </c>
      <c r="D69" s="199" t="s">
        <v>73</v>
      </c>
      <c r="E69" s="341"/>
      <c r="F69" s="349" t="s">
        <v>13</v>
      </c>
      <c r="G69" s="15">
        <v>0</v>
      </c>
      <c r="H69" s="20">
        <v>0</v>
      </c>
      <c r="I69" s="20">
        <v>0</v>
      </c>
      <c r="J69" s="20">
        <v>0</v>
      </c>
      <c r="K69" s="20">
        <v>0</v>
      </c>
      <c r="L69" s="20">
        <f>10000-2100</f>
        <v>7900</v>
      </c>
      <c r="M69" s="20">
        <v>0</v>
      </c>
      <c r="N69" s="20">
        <v>0</v>
      </c>
      <c r="O69" s="20">
        <f t="shared" si="0"/>
        <v>7900</v>
      </c>
      <c r="P69" s="20">
        <v>0</v>
      </c>
      <c r="Q69" s="20">
        <v>300</v>
      </c>
      <c r="R69" s="20">
        <v>300</v>
      </c>
      <c r="S69" s="20">
        <v>0</v>
      </c>
      <c r="T69" s="20">
        <v>0</v>
      </c>
      <c r="U69" s="15">
        <f t="shared" si="1"/>
        <v>8500</v>
      </c>
      <c r="V69" s="16">
        <f t="shared" si="2"/>
        <v>0</v>
      </c>
      <c r="W69" s="16"/>
    </row>
    <row r="70" spans="1:23" s="17" customFormat="1" ht="62.25" customHeight="1" x14ac:dyDescent="0.2">
      <c r="A70" s="18"/>
      <c r="B70" s="30"/>
      <c r="C70" s="366" t="s">
        <v>79</v>
      </c>
      <c r="D70" s="199" t="s">
        <v>73</v>
      </c>
      <c r="E70" s="341"/>
      <c r="F70" s="349" t="s">
        <v>13</v>
      </c>
      <c r="G70" s="15">
        <v>0</v>
      </c>
      <c r="H70" s="20">
        <v>0</v>
      </c>
      <c r="I70" s="20">
        <v>0</v>
      </c>
      <c r="J70" s="20">
        <v>0</v>
      </c>
      <c r="K70" s="20">
        <v>0</v>
      </c>
      <c r="L70" s="20">
        <v>51559</v>
      </c>
      <c r="M70" s="20">
        <v>50074</v>
      </c>
      <c r="N70" s="20">
        <v>51535</v>
      </c>
      <c r="O70" s="20">
        <f t="shared" si="0"/>
        <v>153168</v>
      </c>
      <c r="P70" s="20">
        <v>63296.71587</v>
      </c>
      <c r="Q70" s="20">
        <v>69180.47911</v>
      </c>
      <c r="R70" s="20">
        <v>62949.17669</v>
      </c>
      <c r="S70" s="20">
        <v>59681.441910000001</v>
      </c>
      <c r="T70" s="20">
        <v>56045.670409999999</v>
      </c>
      <c r="U70" s="15">
        <f t="shared" si="1"/>
        <v>464321.4839900001</v>
      </c>
      <c r="V70" s="16">
        <f t="shared" si="2"/>
        <v>0</v>
      </c>
      <c r="W70" s="16"/>
    </row>
    <row r="71" spans="1:23" s="17" customFormat="1" ht="50.25" customHeight="1" x14ac:dyDescent="0.2">
      <c r="A71" s="18"/>
      <c r="B71" s="30"/>
      <c r="C71" s="366" t="s">
        <v>80</v>
      </c>
      <c r="D71" s="349" t="s">
        <v>73</v>
      </c>
      <c r="E71" s="340"/>
      <c r="F71" s="358" t="s">
        <v>13</v>
      </c>
      <c r="G71" s="15">
        <v>0</v>
      </c>
      <c r="H71" s="20">
        <v>0</v>
      </c>
      <c r="I71" s="20">
        <v>0</v>
      </c>
      <c r="J71" s="20">
        <v>0</v>
      </c>
      <c r="K71" s="20">
        <v>0</v>
      </c>
      <c r="L71" s="20">
        <f>307183.1-2334.6</f>
        <v>304848.5</v>
      </c>
      <c r="M71" s="15">
        <f>361442.2-1000</f>
        <v>360442.2</v>
      </c>
      <c r="N71" s="15">
        <v>449833.8</v>
      </c>
      <c r="O71" s="15">
        <f t="shared" si="0"/>
        <v>1115124.5</v>
      </c>
      <c r="P71" s="15">
        <v>550038.13575999998</v>
      </c>
      <c r="Q71" s="15">
        <v>575145.27782000008</v>
      </c>
      <c r="R71" s="15">
        <v>618980.48228000011</v>
      </c>
      <c r="S71" s="15">
        <v>666502.23373000009</v>
      </c>
      <c r="T71" s="15">
        <v>720843.09429999988</v>
      </c>
      <c r="U71" s="15">
        <f t="shared" si="1"/>
        <v>4246633.72389</v>
      </c>
      <c r="V71" s="16">
        <f t="shared" si="2"/>
        <v>0</v>
      </c>
      <c r="W71" s="16"/>
    </row>
    <row r="72" spans="1:23" s="17" customFormat="1" ht="41.25" customHeight="1" x14ac:dyDescent="0.2">
      <c r="A72" s="18"/>
      <c r="B72" s="30"/>
      <c r="C72" s="366" t="s">
        <v>81</v>
      </c>
      <c r="D72" s="349" t="s">
        <v>73</v>
      </c>
      <c r="E72" s="340"/>
      <c r="F72" s="358" t="s">
        <v>13</v>
      </c>
      <c r="G72" s="15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65">
        <v>2250</v>
      </c>
      <c r="N72" s="65">
        <v>0</v>
      </c>
      <c r="O72" s="65">
        <f t="shared" si="0"/>
        <v>2250</v>
      </c>
      <c r="P72" s="65">
        <v>3700</v>
      </c>
      <c r="Q72" s="65">
        <v>1500</v>
      </c>
      <c r="R72" s="65">
        <v>0</v>
      </c>
      <c r="S72" s="65">
        <v>0</v>
      </c>
      <c r="T72" s="65">
        <v>0</v>
      </c>
      <c r="U72" s="15">
        <f t="shared" si="1"/>
        <v>7450</v>
      </c>
      <c r="V72" s="16">
        <f t="shared" si="2"/>
        <v>0</v>
      </c>
      <c r="W72" s="16"/>
    </row>
    <row r="73" spans="1:23" s="17" customFormat="1" ht="49.5" customHeight="1" x14ac:dyDescent="0.2">
      <c r="A73" s="18"/>
      <c r="B73" s="30"/>
      <c r="C73" s="366" t="s">
        <v>82</v>
      </c>
      <c r="D73" s="349" t="s">
        <v>83</v>
      </c>
      <c r="E73" s="340"/>
      <c r="F73" s="358" t="s">
        <v>13</v>
      </c>
      <c r="G73" s="15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15">
        <f>72927.1+5360+16000</f>
        <v>94287.1</v>
      </c>
      <c r="N73" s="15">
        <f>87444.4+18000+9200+4235-2850.5+3000</f>
        <v>119028.9</v>
      </c>
      <c r="O73" s="15">
        <f t="shared" si="0"/>
        <v>213316</v>
      </c>
      <c r="P73" s="15">
        <v>241085.13451</v>
      </c>
      <c r="Q73" s="15">
        <v>305345.93681000004</v>
      </c>
      <c r="R73" s="15">
        <v>394183.52026999998</v>
      </c>
      <c r="S73" s="15">
        <v>496402.59255</v>
      </c>
      <c r="T73" s="15">
        <v>612403.79011000006</v>
      </c>
      <c r="U73" s="15">
        <f t="shared" si="1"/>
        <v>2262736.97425</v>
      </c>
      <c r="V73" s="16">
        <f t="shared" si="2"/>
        <v>0</v>
      </c>
      <c r="W73" s="16"/>
    </row>
    <row r="74" spans="1:23" s="17" customFormat="1" ht="44.25" customHeight="1" x14ac:dyDescent="0.2">
      <c r="A74" s="18"/>
      <c r="B74" s="30"/>
      <c r="C74" s="366" t="s">
        <v>84</v>
      </c>
      <c r="D74" s="349" t="s">
        <v>83</v>
      </c>
      <c r="E74" s="340"/>
      <c r="F74" s="358" t="s">
        <v>13</v>
      </c>
      <c r="G74" s="15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15">
        <v>1000</v>
      </c>
      <c r="N74" s="15">
        <v>0</v>
      </c>
      <c r="O74" s="15">
        <f t="shared" si="0"/>
        <v>1000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f t="shared" si="1"/>
        <v>1000</v>
      </c>
      <c r="V74" s="16">
        <f t="shared" si="2"/>
        <v>0</v>
      </c>
      <c r="W74" s="16"/>
    </row>
    <row r="75" spans="1:23" s="17" customFormat="1" ht="40.5" customHeight="1" x14ac:dyDescent="0.2">
      <c r="A75" s="18"/>
      <c r="B75" s="30"/>
      <c r="C75" s="356" t="s">
        <v>85</v>
      </c>
      <c r="D75" s="357" t="s">
        <v>86</v>
      </c>
      <c r="E75" s="340"/>
      <c r="F75" s="367" t="s">
        <v>13</v>
      </c>
      <c r="G75" s="15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15">
        <v>0</v>
      </c>
      <c r="N75" s="15">
        <f>150000-25055</f>
        <v>124945</v>
      </c>
      <c r="O75" s="15">
        <f t="shared" si="0"/>
        <v>124945</v>
      </c>
      <c r="P75" s="15">
        <v>140000</v>
      </c>
      <c r="Q75" s="15">
        <v>150000</v>
      </c>
      <c r="R75" s="15">
        <v>170000</v>
      </c>
      <c r="S75" s="15">
        <v>185000</v>
      </c>
      <c r="T75" s="15">
        <v>200000</v>
      </c>
      <c r="U75" s="15">
        <f t="shared" si="1"/>
        <v>969945</v>
      </c>
      <c r="V75" s="16">
        <f t="shared" si="2"/>
        <v>0</v>
      </c>
      <c r="W75" s="16"/>
    </row>
    <row r="76" spans="1:23" s="17" customFormat="1" ht="44.25" customHeight="1" x14ac:dyDescent="0.2">
      <c r="A76" s="18"/>
      <c r="B76" s="30"/>
      <c r="C76" s="68" t="s">
        <v>87</v>
      </c>
      <c r="D76" s="69" t="s">
        <v>88</v>
      </c>
      <c r="E76" s="70"/>
      <c r="F76" s="368" t="s">
        <v>13</v>
      </c>
      <c r="G76" s="52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15">
        <v>0</v>
      </c>
      <c r="N76" s="15">
        <v>0</v>
      </c>
      <c r="O76" s="15">
        <f t="shared" si="0"/>
        <v>0</v>
      </c>
      <c r="P76" s="15">
        <v>0</v>
      </c>
      <c r="Q76" s="15">
        <v>132000</v>
      </c>
      <c r="R76" s="15">
        <v>140000</v>
      </c>
      <c r="S76" s="15">
        <v>110000</v>
      </c>
      <c r="T76" s="15">
        <v>125000</v>
      </c>
      <c r="U76" s="15">
        <f t="shared" si="1"/>
        <v>507000</v>
      </c>
      <c r="V76" s="16">
        <f t="shared" si="2"/>
        <v>0</v>
      </c>
      <c r="W76" s="16"/>
    </row>
    <row r="77" spans="1:23" s="17" customFormat="1" ht="38.25" customHeight="1" x14ac:dyDescent="0.2">
      <c r="A77" s="18"/>
      <c r="B77" s="30"/>
      <c r="C77" s="369" t="s">
        <v>89</v>
      </c>
      <c r="D77" s="40" t="s">
        <v>88</v>
      </c>
      <c r="E77" s="70"/>
      <c r="F77" s="72" t="s">
        <v>13</v>
      </c>
      <c r="G77" s="15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15">
        <v>0</v>
      </c>
      <c r="N77" s="15">
        <v>0</v>
      </c>
      <c r="O77" s="15">
        <f t="shared" ref="O77:O140" si="4">G77+H77+I77+J77+K77+L77+M77+N77</f>
        <v>0</v>
      </c>
      <c r="P77" s="15">
        <v>2000</v>
      </c>
      <c r="Q77" s="15">
        <v>3000</v>
      </c>
      <c r="R77" s="15">
        <v>0</v>
      </c>
      <c r="S77" s="15">
        <v>0</v>
      </c>
      <c r="T77" s="15">
        <v>0</v>
      </c>
      <c r="U77" s="15">
        <f t="shared" ref="U77:U140" si="5">SUM(G77:T77)-O77</f>
        <v>5000</v>
      </c>
      <c r="V77" s="16">
        <f t="shared" ref="V77:V140" si="6">G77+H77+I77+J77+K77+L77+M77+N77+P77+Q77+R77+S77+T77-U77</f>
        <v>0</v>
      </c>
      <c r="W77" s="16"/>
    </row>
    <row r="78" spans="1:23" s="17" customFormat="1" ht="46.5" customHeight="1" x14ac:dyDescent="0.2">
      <c r="A78" s="18"/>
      <c r="B78" s="32"/>
      <c r="C78" s="369" t="s">
        <v>90</v>
      </c>
      <c r="D78" s="73" t="s">
        <v>88</v>
      </c>
      <c r="E78" s="70"/>
      <c r="F78" s="72" t="s">
        <v>13</v>
      </c>
      <c r="G78" s="15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15">
        <v>0</v>
      </c>
      <c r="N78" s="15">
        <v>0</v>
      </c>
      <c r="O78" s="15">
        <f t="shared" si="4"/>
        <v>0</v>
      </c>
      <c r="P78" s="15">
        <v>15000</v>
      </c>
      <c r="Q78" s="15">
        <v>2000</v>
      </c>
      <c r="R78" s="15">
        <v>0</v>
      </c>
      <c r="S78" s="15">
        <v>0</v>
      </c>
      <c r="T78" s="15">
        <v>0</v>
      </c>
      <c r="U78" s="15">
        <f t="shared" si="5"/>
        <v>17000</v>
      </c>
      <c r="V78" s="16">
        <f t="shared" si="6"/>
        <v>0</v>
      </c>
      <c r="W78" s="16"/>
    </row>
    <row r="79" spans="1:23" s="17" customFormat="1" ht="45" customHeight="1" x14ac:dyDescent="0.2">
      <c r="A79" s="567" t="s">
        <v>91</v>
      </c>
      <c r="B79" s="568"/>
      <c r="C79" s="370"/>
      <c r="D79" s="371"/>
      <c r="E79" s="76"/>
      <c r="F79" s="372" t="s">
        <v>13</v>
      </c>
      <c r="G79" s="77">
        <f t="shared" ref="G79:T79" si="7">SUM(G12:G78)-G39</f>
        <v>115838.47999999998</v>
      </c>
      <c r="H79" s="77">
        <f t="shared" si="7"/>
        <v>214504.09999999998</v>
      </c>
      <c r="I79" s="77">
        <f t="shared" si="7"/>
        <v>240425.5</v>
      </c>
      <c r="J79" s="77">
        <f t="shared" si="7"/>
        <v>295414.2</v>
      </c>
      <c r="K79" s="77">
        <f t="shared" si="7"/>
        <v>449477.26</v>
      </c>
      <c r="L79" s="77">
        <f t="shared" si="7"/>
        <v>628078.5</v>
      </c>
      <c r="M79" s="77">
        <f t="shared" si="7"/>
        <v>664788.29999999993</v>
      </c>
      <c r="N79" s="77">
        <f t="shared" si="7"/>
        <v>854868.20000000007</v>
      </c>
      <c r="O79" s="77">
        <f t="shared" si="4"/>
        <v>3463394.54</v>
      </c>
      <c r="P79" s="77">
        <f t="shared" si="7"/>
        <v>1049319.9861399999</v>
      </c>
      <c r="Q79" s="77">
        <f t="shared" si="7"/>
        <v>1351521.6937400002</v>
      </c>
      <c r="R79" s="77">
        <f t="shared" si="7"/>
        <v>1519313.17924</v>
      </c>
      <c r="S79" s="77">
        <f t="shared" si="7"/>
        <v>1640186.26819</v>
      </c>
      <c r="T79" s="77">
        <f t="shared" si="7"/>
        <v>1862292.55482</v>
      </c>
      <c r="U79" s="77">
        <f>SUM(U12:U78)-U39</f>
        <v>10886028.222130001</v>
      </c>
      <c r="V79" s="16">
        <f t="shared" si="6"/>
        <v>0</v>
      </c>
      <c r="W79" s="16"/>
    </row>
    <row r="80" spans="1:23" s="17" customFormat="1" ht="45" customHeight="1" x14ac:dyDescent="0.2">
      <c r="A80" s="78">
        <v>2</v>
      </c>
      <c r="B80" s="629" t="s">
        <v>92</v>
      </c>
      <c r="C80" s="105" t="s">
        <v>93</v>
      </c>
      <c r="D80" s="354" t="s">
        <v>11</v>
      </c>
      <c r="E80" s="630" t="s">
        <v>94</v>
      </c>
      <c r="F80" s="358" t="s">
        <v>13</v>
      </c>
      <c r="G80" s="15">
        <v>134514.32</v>
      </c>
      <c r="H80" s="15">
        <f>146683.2+8661.9</f>
        <v>155345.1</v>
      </c>
      <c r="I80" s="15">
        <v>209068.1</v>
      </c>
      <c r="J80" s="15">
        <v>224749.2</v>
      </c>
      <c r="K80" s="15">
        <v>310495.3</v>
      </c>
      <c r="L80" s="15">
        <f>24514+5642.2</f>
        <v>30156.2</v>
      </c>
      <c r="M80" s="15">
        <v>0</v>
      </c>
      <c r="N80" s="15">
        <v>0</v>
      </c>
      <c r="O80" s="15">
        <f t="shared" si="4"/>
        <v>1064328.22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f t="shared" si="5"/>
        <v>1064328.22</v>
      </c>
      <c r="V80" s="16">
        <f t="shared" si="6"/>
        <v>0</v>
      </c>
      <c r="W80" s="16"/>
    </row>
    <row r="81" spans="1:23" s="17" customFormat="1" ht="60.75" customHeight="1" x14ac:dyDescent="0.2">
      <c r="A81" s="78"/>
      <c r="B81" s="601"/>
      <c r="C81" s="105" t="s">
        <v>95</v>
      </c>
      <c r="D81" s="372" t="s">
        <v>29</v>
      </c>
      <c r="E81" s="630"/>
      <c r="F81" s="358" t="s">
        <v>13</v>
      </c>
      <c r="G81" s="15">
        <v>3000</v>
      </c>
      <c r="H81" s="15">
        <v>12000</v>
      </c>
      <c r="I81" s="15">
        <v>3745</v>
      </c>
      <c r="J81" s="15">
        <v>8100</v>
      </c>
      <c r="K81" s="15">
        <v>9720</v>
      </c>
      <c r="L81" s="15">
        <f>0+979.5</f>
        <v>979.5</v>
      </c>
      <c r="M81" s="15">
        <v>0</v>
      </c>
      <c r="N81" s="15">
        <v>0</v>
      </c>
      <c r="O81" s="15">
        <f t="shared" si="4"/>
        <v>37544.5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f t="shared" si="5"/>
        <v>37544.5</v>
      </c>
      <c r="V81" s="16">
        <f t="shared" si="6"/>
        <v>0</v>
      </c>
      <c r="W81" s="16"/>
    </row>
    <row r="82" spans="1:23" s="17" customFormat="1" ht="51" customHeight="1" x14ac:dyDescent="0.2">
      <c r="A82" s="78"/>
      <c r="B82" s="601"/>
      <c r="C82" s="105" t="s">
        <v>96</v>
      </c>
      <c r="D82" s="349" t="s">
        <v>18</v>
      </c>
      <c r="E82" s="22" t="s">
        <v>97</v>
      </c>
      <c r="F82" s="358" t="s">
        <v>13</v>
      </c>
      <c r="G82" s="20">
        <v>0</v>
      </c>
      <c r="H82" s="15">
        <f>498.2+2700</f>
        <v>3198.2</v>
      </c>
      <c r="I82" s="15">
        <v>0</v>
      </c>
      <c r="J82" s="15">
        <v>2200</v>
      </c>
      <c r="K82" s="15">
        <v>5500</v>
      </c>
      <c r="L82" s="15">
        <v>0</v>
      </c>
      <c r="M82" s="15">
        <v>0</v>
      </c>
      <c r="N82" s="15">
        <v>0</v>
      </c>
      <c r="O82" s="15">
        <f t="shared" si="4"/>
        <v>10898.2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f t="shared" si="5"/>
        <v>10898.2</v>
      </c>
      <c r="V82" s="16">
        <f t="shared" si="6"/>
        <v>0</v>
      </c>
      <c r="W82" s="16"/>
    </row>
    <row r="83" spans="1:23" s="17" customFormat="1" ht="48.75" customHeight="1" x14ac:dyDescent="0.2">
      <c r="A83" s="340"/>
      <c r="B83" s="601"/>
      <c r="C83" s="105" t="s">
        <v>98</v>
      </c>
      <c r="D83" s="349" t="s">
        <v>29</v>
      </c>
      <c r="E83" s="22"/>
      <c r="F83" s="349" t="s">
        <v>13</v>
      </c>
      <c r="G83" s="15">
        <v>909</v>
      </c>
      <c r="H83" s="15">
        <v>1500</v>
      </c>
      <c r="I83" s="15">
        <v>1700</v>
      </c>
      <c r="J83" s="15">
        <v>1354.7</v>
      </c>
      <c r="K83" s="15">
        <v>1339.3</v>
      </c>
      <c r="L83" s="15">
        <f>0+564</f>
        <v>564</v>
      </c>
      <c r="M83" s="15">
        <v>0</v>
      </c>
      <c r="N83" s="15">
        <v>0</v>
      </c>
      <c r="O83" s="15">
        <f t="shared" si="4"/>
        <v>7367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f t="shared" si="5"/>
        <v>7367</v>
      </c>
      <c r="V83" s="16">
        <f t="shared" si="6"/>
        <v>0</v>
      </c>
      <c r="W83" s="16"/>
    </row>
    <row r="84" spans="1:23" s="17" customFormat="1" ht="67.5" customHeight="1" x14ac:dyDescent="0.2">
      <c r="A84" s="340"/>
      <c r="B84" s="80"/>
      <c r="C84" s="105" t="s">
        <v>99</v>
      </c>
      <c r="D84" s="349" t="s">
        <v>29</v>
      </c>
      <c r="E84" s="22"/>
      <c r="F84" s="349" t="s">
        <v>13</v>
      </c>
      <c r="G84" s="20">
        <v>0</v>
      </c>
      <c r="H84" s="20">
        <v>0</v>
      </c>
      <c r="I84" s="20">
        <v>0</v>
      </c>
      <c r="J84" s="15">
        <v>12867</v>
      </c>
      <c r="K84" s="20">
        <v>0</v>
      </c>
      <c r="L84" s="20">
        <v>0</v>
      </c>
      <c r="M84" s="20">
        <v>16000</v>
      </c>
      <c r="N84" s="20">
        <v>0</v>
      </c>
      <c r="O84" s="20">
        <f t="shared" si="4"/>
        <v>28867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f t="shared" si="5"/>
        <v>28867</v>
      </c>
      <c r="V84" s="16">
        <f t="shared" si="6"/>
        <v>0</v>
      </c>
      <c r="W84" s="16"/>
    </row>
    <row r="85" spans="1:23" s="17" customFormat="1" ht="53.25" customHeight="1" x14ac:dyDescent="0.2">
      <c r="A85" s="340"/>
      <c r="B85" s="80"/>
      <c r="C85" s="105" t="s">
        <v>100</v>
      </c>
      <c r="D85" s="349" t="s">
        <v>29</v>
      </c>
      <c r="E85" s="81"/>
      <c r="F85" s="349" t="s">
        <v>13</v>
      </c>
      <c r="G85" s="20">
        <v>0</v>
      </c>
      <c r="H85" s="15">
        <v>16000</v>
      </c>
      <c r="I85" s="20">
        <v>0</v>
      </c>
      <c r="J85" s="20">
        <v>0</v>
      </c>
      <c r="K85" s="20">
        <v>7218</v>
      </c>
      <c r="L85" s="20">
        <v>20000</v>
      </c>
      <c r="M85" s="20">
        <v>0</v>
      </c>
      <c r="N85" s="20">
        <v>0</v>
      </c>
      <c r="O85" s="20">
        <f t="shared" si="4"/>
        <v>43218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f t="shared" si="5"/>
        <v>43218</v>
      </c>
      <c r="V85" s="16">
        <f t="shared" si="6"/>
        <v>0</v>
      </c>
      <c r="W85" s="16"/>
    </row>
    <row r="86" spans="1:23" s="17" customFormat="1" ht="81.75" customHeight="1" x14ac:dyDescent="0.2">
      <c r="A86" s="340"/>
      <c r="B86" s="82"/>
      <c r="C86" s="105" t="s">
        <v>101</v>
      </c>
      <c r="D86" s="199" t="s">
        <v>29</v>
      </c>
      <c r="E86" s="24"/>
      <c r="F86" s="349" t="s">
        <v>13</v>
      </c>
      <c r="G86" s="20">
        <v>0</v>
      </c>
      <c r="H86" s="15">
        <v>6000</v>
      </c>
      <c r="I86" s="20">
        <v>0</v>
      </c>
      <c r="J86" s="20">
        <v>8000</v>
      </c>
      <c r="K86" s="20">
        <v>0</v>
      </c>
      <c r="L86" s="20">
        <v>7042</v>
      </c>
      <c r="M86" s="20">
        <v>0</v>
      </c>
      <c r="N86" s="20">
        <v>0</v>
      </c>
      <c r="O86" s="20">
        <f t="shared" si="4"/>
        <v>21042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f t="shared" si="5"/>
        <v>21042</v>
      </c>
      <c r="V86" s="16">
        <f t="shared" si="6"/>
        <v>0</v>
      </c>
      <c r="W86" s="16"/>
    </row>
    <row r="87" spans="1:23" s="17" customFormat="1" ht="42" customHeight="1" x14ac:dyDescent="0.2">
      <c r="A87" s="340"/>
      <c r="B87" s="19"/>
      <c r="C87" s="105" t="s">
        <v>102</v>
      </c>
      <c r="D87" s="373" t="s">
        <v>18</v>
      </c>
      <c r="E87" s="24"/>
      <c r="F87" s="372" t="s">
        <v>13</v>
      </c>
      <c r="G87" s="20">
        <v>0</v>
      </c>
      <c r="H87" s="15">
        <v>143</v>
      </c>
      <c r="I87" s="15">
        <v>195</v>
      </c>
      <c r="J87" s="15">
        <v>105</v>
      </c>
      <c r="K87" s="15">
        <v>105</v>
      </c>
      <c r="L87" s="15">
        <v>0</v>
      </c>
      <c r="M87" s="15">
        <v>0</v>
      </c>
      <c r="N87" s="15">
        <v>0</v>
      </c>
      <c r="O87" s="15">
        <f t="shared" si="4"/>
        <v>548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f t="shared" si="5"/>
        <v>548</v>
      </c>
      <c r="V87" s="16">
        <f t="shared" si="6"/>
        <v>0</v>
      </c>
      <c r="W87" s="16"/>
    </row>
    <row r="88" spans="1:23" s="17" customFormat="1" ht="48.75" customHeight="1" x14ac:dyDescent="0.2">
      <c r="A88" s="340"/>
      <c r="B88" s="82"/>
      <c r="C88" s="105" t="s">
        <v>103</v>
      </c>
      <c r="D88" s="199" t="s">
        <v>18</v>
      </c>
      <c r="E88" s="24"/>
      <c r="F88" s="349" t="s">
        <v>13</v>
      </c>
      <c r="G88" s="20">
        <v>0</v>
      </c>
      <c r="H88" s="15">
        <v>1530.8</v>
      </c>
      <c r="I88" s="15">
        <v>490</v>
      </c>
      <c r="J88" s="15">
        <v>890</v>
      </c>
      <c r="K88" s="15">
        <v>0</v>
      </c>
      <c r="L88" s="15">
        <v>0</v>
      </c>
      <c r="M88" s="15">
        <v>0</v>
      </c>
      <c r="N88" s="15">
        <v>0</v>
      </c>
      <c r="O88" s="15">
        <f t="shared" si="4"/>
        <v>2910.8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f t="shared" si="5"/>
        <v>2910.8</v>
      </c>
      <c r="V88" s="16">
        <f t="shared" si="6"/>
        <v>0</v>
      </c>
      <c r="W88" s="16"/>
    </row>
    <row r="89" spans="1:23" s="17" customFormat="1" ht="44.25" customHeight="1" x14ac:dyDescent="0.2">
      <c r="A89" s="340"/>
      <c r="B89" s="82"/>
      <c r="C89" s="105" t="s">
        <v>104</v>
      </c>
      <c r="D89" s="199" t="s">
        <v>29</v>
      </c>
      <c r="E89" s="24"/>
      <c r="F89" s="349" t="s">
        <v>13</v>
      </c>
      <c r="G89" s="20">
        <v>0</v>
      </c>
      <c r="H89" s="15">
        <v>8085</v>
      </c>
      <c r="I89" s="15">
        <v>290.89999999999998</v>
      </c>
      <c r="J89" s="15">
        <v>7367</v>
      </c>
      <c r="K89" s="15">
        <v>8499.5</v>
      </c>
      <c r="L89" s="15">
        <v>62100</v>
      </c>
      <c r="M89" s="15">
        <v>66000</v>
      </c>
      <c r="N89" s="15">
        <v>72600</v>
      </c>
      <c r="O89" s="15">
        <f t="shared" si="4"/>
        <v>224942.4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f t="shared" si="5"/>
        <v>224942.4</v>
      </c>
      <c r="V89" s="16">
        <f t="shared" si="6"/>
        <v>0</v>
      </c>
      <c r="W89" s="16"/>
    </row>
    <row r="90" spans="1:23" s="17" customFormat="1" ht="43.5" customHeight="1" x14ac:dyDescent="0.2">
      <c r="A90" s="340"/>
      <c r="B90" s="30"/>
      <c r="C90" s="83" t="s">
        <v>105</v>
      </c>
      <c r="D90" s="372" t="s">
        <v>18</v>
      </c>
      <c r="E90" s="22"/>
      <c r="F90" s="358" t="s">
        <v>13</v>
      </c>
      <c r="G90" s="20">
        <v>0</v>
      </c>
      <c r="H90" s="15">
        <f>552+228</f>
        <v>780</v>
      </c>
      <c r="I90" s="15">
        <f>1936+2784</f>
        <v>4720</v>
      </c>
      <c r="J90" s="15">
        <f>1936+2784</f>
        <v>4720</v>
      </c>
      <c r="K90" s="15">
        <v>4720</v>
      </c>
      <c r="L90" s="15">
        <v>0</v>
      </c>
      <c r="M90" s="15">
        <v>0</v>
      </c>
      <c r="N90" s="15">
        <v>0</v>
      </c>
      <c r="O90" s="15">
        <f t="shared" si="4"/>
        <v>14940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f t="shared" si="5"/>
        <v>14940</v>
      </c>
      <c r="V90" s="16">
        <f t="shared" si="6"/>
        <v>0</v>
      </c>
      <c r="W90" s="16"/>
    </row>
    <row r="91" spans="1:23" s="17" customFormat="1" ht="42" customHeight="1" x14ac:dyDescent="0.2">
      <c r="A91" s="341"/>
      <c r="B91" s="84"/>
      <c r="C91" s="374" t="s">
        <v>106</v>
      </c>
      <c r="D91" s="354" t="s">
        <v>18</v>
      </c>
      <c r="E91" s="22"/>
      <c r="F91" s="358" t="s">
        <v>13</v>
      </c>
      <c r="G91" s="20">
        <v>0</v>
      </c>
      <c r="H91" s="15">
        <v>176</v>
      </c>
      <c r="I91" s="15">
        <v>500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f t="shared" si="4"/>
        <v>676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f t="shared" si="5"/>
        <v>676</v>
      </c>
      <c r="V91" s="16">
        <f t="shared" si="6"/>
        <v>0</v>
      </c>
      <c r="W91" s="16"/>
    </row>
    <row r="92" spans="1:23" s="17" customFormat="1" ht="72" customHeight="1" x14ac:dyDescent="0.2">
      <c r="A92" s="86"/>
      <c r="B92" s="87"/>
      <c r="C92" s="105" t="s">
        <v>363</v>
      </c>
      <c r="D92" s="349">
        <v>2019</v>
      </c>
      <c r="E92" s="81"/>
      <c r="F92" s="349" t="s">
        <v>13</v>
      </c>
      <c r="G92" s="20">
        <v>0</v>
      </c>
      <c r="H92" s="15">
        <v>0</v>
      </c>
      <c r="I92" s="15">
        <v>0</v>
      </c>
      <c r="J92" s="15">
        <v>240</v>
      </c>
      <c r="K92" s="15">
        <v>0</v>
      </c>
      <c r="L92" s="15">
        <v>0</v>
      </c>
      <c r="M92" s="15">
        <v>0</v>
      </c>
      <c r="N92" s="15">
        <v>0</v>
      </c>
      <c r="O92" s="15">
        <f t="shared" si="4"/>
        <v>240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f t="shared" si="5"/>
        <v>240</v>
      </c>
      <c r="V92" s="16">
        <f t="shared" si="6"/>
        <v>0</v>
      </c>
      <c r="W92" s="16"/>
    </row>
    <row r="93" spans="1:23" s="17" customFormat="1" ht="42.75" customHeight="1" x14ac:dyDescent="0.2">
      <c r="A93" s="341"/>
      <c r="B93" s="84"/>
      <c r="C93" s="105" t="s">
        <v>107</v>
      </c>
      <c r="D93" s="199">
        <v>2020</v>
      </c>
      <c r="E93" s="24"/>
      <c r="F93" s="349" t="s">
        <v>13</v>
      </c>
      <c r="G93" s="20">
        <v>0</v>
      </c>
      <c r="H93" s="15">
        <v>0</v>
      </c>
      <c r="I93" s="15">
        <v>0</v>
      </c>
      <c r="J93" s="15">
        <v>0</v>
      </c>
      <c r="K93" s="15">
        <v>1334.27</v>
      </c>
      <c r="L93" s="15">
        <v>0</v>
      </c>
      <c r="M93" s="15">
        <v>0</v>
      </c>
      <c r="N93" s="15">
        <v>0</v>
      </c>
      <c r="O93" s="15">
        <f t="shared" si="4"/>
        <v>1334.27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f t="shared" si="5"/>
        <v>1334.27</v>
      </c>
      <c r="V93" s="16">
        <f t="shared" si="6"/>
        <v>0</v>
      </c>
      <c r="W93" s="16"/>
    </row>
    <row r="94" spans="1:23" s="17" customFormat="1" ht="42.75" customHeight="1" x14ac:dyDescent="0.2">
      <c r="A94" s="341"/>
      <c r="B94" s="84"/>
      <c r="C94" s="105" t="s">
        <v>108</v>
      </c>
      <c r="D94" s="199" t="s">
        <v>109</v>
      </c>
      <c r="E94" s="24"/>
      <c r="F94" s="349" t="s">
        <v>13</v>
      </c>
      <c r="G94" s="20">
        <v>0</v>
      </c>
      <c r="H94" s="15">
        <v>0</v>
      </c>
      <c r="I94" s="15">
        <v>0</v>
      </c>
      <c r="J94" s="15">
        <v>0</v>
      </c>
      <c r="K94" s="15">
        <v>3500</v>
      </c>
      <c r="L94" s="15">
        <f>4500</f>
        <v>4500</v>
      </c>
      <c r="M94" s="15">
        <f>0+4500</f>
        <v>4500</v>
      </c>
      <c r="N94" s="15">
        <v>4800</v>
      </c>
      <c r="O94" s="15">
        <f t="shared" si="4"/>
        <v>17300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f t="shared" si="5"/>
        <v>17300</v>
      </c>
      <c r="V94" s="16">
        <f t="shared" si="6"/>
        <v>0</v>
      </c>
      <c r="W94" s="16"/>
    </row>
    <row r="95" spans="1:23" s="17" customFormat="1" ht="67.5" customHeight="1" x14ac:dyDescent="0.2">
      <c r="A95" s="330"/>
      <c r="B95" s="331"/>
      <c r="C95" s="105" t="s">
        <v>110</v>
      </c>
      <c r="D95" s="199">
        <v>2019</v>
      </c>
      <c r="E95" s="326"/>
      <c r="F95" s="349" t="s">
        <v>13</v>
      </c>
      <c r="G95" s="20">
        <v>0</v>
      </c>
      <c r="H95" s="15">
        <v>0</v>
      </c>
      <c r="I95" s="15">
        <v>0</v>
      </c>
      <c r="J95" s="15">
        <v>5200</v>
      </c>
      <c r="K95" s="15">
        <v>0</v>
      </c>
      <c r="L95" s="15">
        <v>0</v>
      </c>
      <c r="M95" s="15">
        <v>0</v>
      </c>
      <c r="N95" s="15">
        <v>0</v>
      </c>
      <c r="O95" s="15">
        <f t="shared" si="4"/>
        <v>5200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f t="shared" si="5"/>
        <v>5200</v>
      </c>
      <c r="V95" s="16">
        <f t="shared" si="6"/>
        <v>0</v>
      </c>
      <c r="W95" s="16"/>
    </row>
    <row r="96" spans="1:23" s="17" customFormat="1" ht="71.25" customHeight="1" x14ac:dyDescent="0.2">
      <c r="A96" s="341"/>
      <c r="B96" s="329"/>
      <c r="C96" s="105" t="s">
        <v>111</v>
      </c>
      <c r="D96" s="373" t="s">
        <v>61</v>
      </c>
      <c r="E96" s="24"/>
      <c r="F96" s="372" t="s">
        <v>13</v>
      </c>
      <c r="G96" s="20">
        <v>0</v>
      </c>
      <c r="H96" s="15">
        <v>0</v>
      </c>
      <c r="I96" s="15">
        <v>0</v>
      </c>
      <c r="J96" s="15">
        <v>400</v>
      </c>
      <c r="K96" s="15">
        <v>0</v>
      </c>
      <c r="L96" s="15">
        <v>69.55</v>
      </c>
      <c r="M96" s="15">
        <v>0</v>
      </c>
      <c r="N96" s="15">
        <v>0</v>
      </c>
      <c r="O96" s="15">
        <f t="shared" si="4"/>
        <v>469.55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f t="shared" si="5"/>
        <v>469.55</v>
      </c>
      <c r="V96" s="16">
        <f t="shared" si="6"/>
        <v>0</v>
      </c>
      <c r="W96" s="16"/>
    </row>
    <row r="97" spans="1:23" s="17" customFormat="1" ht="51.75" customHeight="1" x14ac:dyDescent="0.2">
      <c r="A97" s="341"/>
      <c r="B97" s="84"/>
      <c r="C97" s="105" t="s">
        <v>112</v>
      </c>
      <c r="D97" s="199" t="s">
        <v>68</v>
      </c>
      <c r="E97" s="24"/>
      <c r="F97" s="349" t="s">
        <v>13</v>
      </c>
      <c r="G97" s="20">
        <v>0</v>
      </c>
      <c r="H97" s="15">
        <v>0</v>
      </c>
      <c r="I97" s="15">
        <v>0</v>
      </c>
      <c r="J97" s="15">
        <v>30000</v>
      </c>
      <c r="K97" s="15">
        <v>0</v>
      </c>
      <c r="L97" s="15">
        <v>0</v>
      </c>
      <c r="M97" s="15">
        <v>0</v>
      </c>
      <c r="N97" s="15">
        <v>0</v>
      </c>
      <c r="O97" s="15">
        <f t="shared" si="4"/>
        <v>30000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f t="shared" si="5"/>
        <v>30000</v>
      </c>
      <c r="V97" s="16">
        <f t="shared" si="6"/>
        <v>0</v>
      </c>
      <c r="W97" s="16"/>
    </row>
    <row r="98" spans="1:23" s="17" customFormat="1" ht="51" customHeight="1" x14ac:dyDescent="0.2">
      <c r="A98" s="78"/>
      <c r="B98" s="30"/>
      <c r="C98" s="105" t="s">
        <v>113</v>
      </c>
      <c r="D98" s="372" t="s">
        <v>61</v>
      </c>
      <c r="E98" s="22"/>
      <c r="F98" s="358" t="s">
        <v>13</v>
      </c>
      <c r="G98" s="20">
        <v>0</v>
      </c>
      <c r="H98" s="15">
        <v>0</v>
      </c>
      <c r="I98" s="15">
        <v>0</v>
      </c>
      <c r="J98" s="15">
        <v>7000</v>
      </c>
      <c r="K98" s="15">
        <v>13389</v>
      </c>
      <c r="L98" s="15">
        <f>0+4455</f>
        <v>4455</v>
      </c>
      <c r="M98" s="15">
        <f>0+2600+2000</f>
        <v>4600</v>
      </c>
      <c r="N98" s="15">
        <v>0</v>
      </c>
      <c r="O98" s="15">
        <f t="shared" si="4"/>
        <v>29444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f t="shared" si="5"/>
        <v>29444</v>
      </c>
      <c r="V98" s="16">
        <f t="shared" si="6"/>
        <v>0</v>
      </c>
      <c r="W98" s="16"/>
    </row>
    <row r="99" spans="1:23" s="17" customFormat="1" ht="77.25" customHeight="1" x14ac:dyDescent="0.2">
      <c r="A99" s="86"/>
      <c r="B99" s="87"/>
      <c r="C99" s="105" t="s">
        <v>114</v>
      </c>
      <c r="D99" s="349" t="s">
        <v>109</v>
      </c>
      <c r="E99" s="22"/>
      <c r="F99" s="358" t="s">
        <v>13</v>
      </c>
      <c r="G99" s="20">
        <v>0</v>
      </c>
      <c r="H99" s="20">
        <v>0</v>
      </c>
      <c r="I99" s="20">
        <v>0</v>
      </c>
      <c r="J99" s="20">
        <v>0</v>
      </c>
      <c r="K99" s="15">
        <v>200</v>
      </c>
      <c r="L99" s="15">
        <v>97.64</v>
      </c>
      <c r="M99" s="15">
        <v>0</v>
      </c>
      <c r="N99" s="15">
        <v>0</v>
      </c>
      <c r="O99" s="15">
        <f t="shared" si="4"/>
        <v>297.64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f t="shared" si="5"/>
        <v>297.64</v>
      </c>
      <c r="V99" s="16">
        <f t="shared" si="6"/>
        <v>0</v>
      </c>
      <c r="W99" s="16"/>
    </row>
    <row r="100" spans="1:23" s="17" customFormat="1" ht="41.25" customHeight="1" x14ac:dyDescent="0.2">
      <c r="A100" s="341"/>
      <c r="B100" s="84"/>
      <c r="C100" s="105" t="s">
        <v>115</v>
      </c>
      <c r="D100" s="199">
        <v>2020</v>
      </c>
      <c r="E100" s="24"/>
      <c r="F100" s="349" t="s">
        <v>13</v>
      </c>
      <c r="G100" s="20">
        <v>0</v>
      </c>
      <c r="H100" s="15">
        <v>0</v>
      </c>
      <c r="I100" s="15">
        <v>0</v>
      </c>
      <c r="J100" s="15">
        <v>0</v>
      </c>
      <c r="K100" s="15">
        <v>50000</v>
      </c>
      <c r="L100" s="15">
        <v>0</v>
      </c>
      <c r="M100" s="15">
        <v>0</v>
      </c>
      <c r="N100" s="15">
        <v>0</v>
      </c>
      <c r="O100" s="15">
        <f t="shared" si="4"/>
        <v>50000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f t="shared" si="5"/>
        <v>50000</v>
      </c>
      <c r="V100" s="16">
        <f t="shared" si="6"/>
        <v>0</v>
      </c>
      <c r="W100" s="16"/>
    </row>
    <row r="101" spans="1:23" s="17" customFormat="1" ht="36" customHeight="1" x14ac:dyDescent="0.2">
      <c r="A101" s="341"/>
      <c r="B101" s="84"/>
      <c r="C101" s="105" t="s">
        <v>116</v>
      </c>
      <c r="D101" s="199">
        <v>2020</v>
      </c>
      <c r="E101" s="24"/>
      <c r="F101" s="349" t="s">
        <v>13</v>
      </c>
      <c r="G101" s="20">
        <v>0</v>
      </c>
      <c r="H101" s="15">
        <v>0</v>
      </c>
      <c r="I101" s="15">
        <v>0</v>
      </c>
      <c r="J101" s="15">
        <v>0</v>
      </c>
      <c r="K101" s="15">
        <v>690</v>
      </c>
      <c r="L101" s="15">
        <v>0</v>
      </c>
      <c r="M101" s="15">
        <v>0</v>
      </c>
      <c r="N101" s="15">
        <v>0</v>
      </c>
      <c r="O101" s="15">
        <f t="shared" si="4"/>
        <v>690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f t="shared" si="5"/>
        <v>690</v>
      </c>
      <c r="V101" s="16">
        <f t="shared" si="6"/>
        <v>0</v>
      </c>
      <c r="W101" s="16"/>
    </row>
    <row r="102" spans="1:23" s="17" customFormat="1" ht="48.75" customHeight="1" x14ac:dyDescent="0.2">
      <c r="A102" s="341"/>
      <c r="B102" s="324"/>
      <c r="C102" s="83" t="s">
        <v>117</v>
      </c>
      <c r="D102" s="373">
        <v>2020</v>
      </c>
      <c r="E102" s="24"/>
      <c r="F102" s="349" t="s">
        <v>13</v>
      </c>
      <c r="G102" s="20">
        <v>0</v>
      </c>
      <c r="H102" s="15">
        <v>0</v>
      </c>
      <c r="I102" s="15">
        <v>0</v>
      </c>
      <c r="J102" s="15">
        <v>0</v>
      </c>
      <c r="K102" s="15">
        <v>900</v>
      </c>
      <c r="L102" s="15">
        <v>0</v>
      </c>
      <c r="M102" s="15">
        <v>0</v>
      </c>
      <c r="N102" s="15">
        <v>0</v>
      </c>
      <c r="O102" s="15">
        <f t="shared" si="4"/>
        <v>900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f t="shared" si="5"/>
        <v>900</v>
      </c>
      <c r="V102" s="16">
        <f t="shared" si="6"/>
        <v>0</v>
      </c>
      <c r="W102" s="16"/>
    </row>
    <row r="103" spans="1:23" s="17" customFormat="1" ht="65.25" customHeight="1" x14ac:dyDescent="0.2">
      <c r="A103" s="88"/>
      <c r="B103" s="89"/>
      <c r="C103" s="374" t="s">
        <v>118</v>
      </c>
      <c r="D103" s="353" t="s">
        <v>109</v>
      </c>
      <c r="E103" s="24"/>
      <c r="F103" s="349" t="s">
        <v>13</v>
      </c>
      <c r="G103" s="20">
        <v>0</v>
      </c>
      <c r="H103" s="15">
        <v>0</v>
      </c>
      <c r="I103" s="15">
        <v>0</v>
      </c>
      <c r="J103" s="15">
        <v>0</v>
      </c>
      <c r="K103" s="15">
        <v>2334.5</v>
      </c>
      <c r="L103" s="15">
        <v>1892.3</v>
      </c>
      <c r="M103" s="15">
        <v>0</v>
      </c>
      <c r="N103" s="15">
        <v>0</v>
      </c>
      <c r="O103" s="15">
        <f t="shared" si="4"/>
        <v>4226.8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f t="shared" si="5"/>
        <v>4226.8</v>
      </c>
      <c r="V103" s="16">
        <f t="shared" si="6"/>
        <v>0</v>
      </c>
      <c r="W103" s="16"/>
    </row>
    <row r="104" spans="1:23" s="17" customFormat="1" ht="45" customHeight="1" x14ac:dyDescent="0.2">
      <c r="A104" s="88"/>
      <c r="B104" s="89"/>
      <c r="C104" s="105" t="s">
        <v>119</v>
      </c>
      <c r="D104" s="199" t="s">
        <v>109</v>
      </c>
      <c r="E104" s="341"/>
      <c r="F104" s="349" t="s">
        <v>13</v>
      </c>
      <c r="G104" s="20">
        <v>0</v>
      </c>
      <c r="H104" s="15">
        <v>0</v>
      </c>
      <c r="I104" s="15">
        <v>0</v>
      </c>
      <c r="J104" s="15">
        <v>0</v>
      </c>
      <c r="K104" s="15">
        <v>1168.73</v>
      </c>
      <c r="L104" s="15">
        <f>0+320.8</f>
        <v>320.8</v>
      </c>
      <c r="M104" s="15">
        <v>0</v>
      </c>
      <c r="N104" s="15">
        <v>0</v>
      </c>
      <c r="O104" s="15">
        <f t="shared" si="4"/>
        <v>1489.53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f t="shared" si="5"/>
        <v>1489.53</v>
      </c>
      <c r="V104" s="16">
        <f t="shared" si="6"/>
        <v>0</v>
      </c>
      <c r="W104" s="16"/>
    </row>
    <row r="105" spans="1:23" s="17" customFormat="1" ht="64.5" customHeight="1" x14ac:dyDescent="0.2">
      <c r="A105" s="88"/>
      <c r="B105" s="89"/>
      <c r="C105" s="105" t="s">
        <v>120</v>
      </c>
      <c r="D105" s="199" t="s">
        <v>121</v>
      </c>
      <c r="E105" s="341"/>
      <c r="F105" s="349" t="s">
        <v>13</v>
      </c>
      <c r="G105" s="20">
        <v>0</v>
      </c>
      <c r="H105" s="15">
        <v>0</v>
      </c>
      <c r="I105" s="15">
        <v>0</v>
      </c>
      <c r="J105" s="15">
        <v>0</v>
      </c>
      <c r="K105" s="15">
        <v>500</v>
      </c>
      <c r="L105" s="15">
        <v>500</v>
      </c>
      <c r="M105" s="15">
        <v>0</v>
      </c>
      <c r="N105" s="15">
        <v>0</v>
      </c>
      <c r="O105" s="15">
        <f t="shared" si="4"/>
        <v>1000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f t="shared" si="5"/>
        <v>1000</v>
      </c>
      <c r="V105" s="16">
        <f t="shared" si="6"/>
        <v>0</v>
      </c>
      <c r="W105" s="16"/>
    </row>
    <row r="106" spans="1:23" s="17" customFormat="1" ht="41.25" customHeight="1" x14ac:dyDescent="0.2">
      <c r="A106" s="88"/>
      <c r="B106" s="89"/>
      <c r="C106" s="105" t="s">
        <v>122</v>
      </c>
      <c r="D106" s="199" t="s">
        <v>73</v>
      </c>
      <c r="E106" s="341"/>
      <c r="F106" s="349" t="s">
        <v>13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15">
        <v>5200</v>
      </c>
      <c r="M106" s="15">
        <f>2860-2860</f>
        <v>0</v>
      </c>
      <c r="N106" s="15">
        <v>3150</v>
      </c>
      <c r="O106" s="15">
        <f t="shared" si="4"/>
        <v>8350</v>
      </c>
      <c r="P106" s="15">
        <v>5500</v>
      </c>
      <c r="Q106" s="15">
        <v>0</v>
      </c>
      <c r="R106" s="15">
        <v>5600</v>
      </c>
      <c r="S106" s="15">
        <v>0</v>
      </c>
      <c r="T106" s="15">
        <v>0</v>
      </c>
      <c r="U106" s="15">
        <f t="shared" si="5"/>
        <v>19450</v>
      </c>
      <c r="V106" s="16">
        <f t="shared" si="6"/>
        <v>0</v>
      </c>
      <c r="W106" s="16"/>
    </row>
    <row r="107" spans="1:23" s="17" customFormat="1" ht="54.75" customHeight="1" x14ac:dyDescent="0.2">
      <c r="A107" s="88"/>
      <c r="B107" s="90"/>
      <c r="C107" s="105" t="s">
        <v>123</v>
      </c>
      <c r="D107" s="373" t="s">
        <v>71</v>
      </c>
      <c r="E107" s="341" t="s">
        <v>124</v>
      </c>
      <c r="F107" s="372" t="s">
        <v>13</v>
      </c>
      <c r="G107" s="20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2300</v>
      </c>
      <c r="M107" s="15">
        <v>0</v>
      </c>
      <c r="N107" s="15">
        <v>2800</v>
      </c>
      <c r="O107" s="15">
        <f t="shared" si="4"/>
        <v>5100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f t="shared" si="5"/>
        <v>5100</v>
      </c>
      <c r="V107" s="16">
        <f t="shared" si="6"/>
        <v>0</v>
      </c>
      <c r="W107" s="16"/>
    </row>
    <row r="108" spans="1:23" s="17" customFormat="1" ht="48.75" customHeight="1" x14ac:dyDescent="0.2">
      <c r="A108" s="88"/>
      <c r="B108" s="89"/>
      <c r="C108" s="105" t="s">
        <v>125</v>
      </c>
      <c r="D108" s="199" t="s">
        <v>71</v>
      </c>
      <c r="E108" s="341"/>
      <c r="F108" s="349" t="s">
        <v>13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15">
        <v>24900</v>
      </c>
      <c r="M108" s="15">
        <f>27309.5-27309.5</f>
        <v>0</v>
      </c>
      <c r="N108" s="15">
        <v>0</v>
      </c>
      <c r="O108" s="15">
        <f t="shared" si="4"/>
        <v>24900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f t="shared" si="5"/>
        <v>24900</v>
      </c>
      <c r="V108" s="16">
        <f t="shared" si="6"/>
        <v>0</v>
      </c>
      <c r="W108" s="16"/>
    </row>
    <row r="109" spans="1:23" s="17" customFormat="1" ht="44.25" customHeight="1" x14ac:dyDescent="0.2">
      <c r="A109" s="88"/>
      <c r="B109" s="89"/>
      <c r="C109" s="105" t="s">
        <v>126</v>
      </c>
      <c r="D109" s="199" t="s">
        <v>71</v>
      </c>
      <c r="E109" s="341"/>
      <c r="F109" s="349" t="s">
        <v>13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15">
        <v>1000</v>
      </c>
      <c r="M109" s="15">
        <v>0</v>
      </c>
      <c r="N109" s="15">
        <v>0</v>
      </c>
      <c r="O109" s="15">
        <f t="shared" si="4"/>
        <v>1000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f t="shared" si="5"/>
        <v>1000</v>
      </c>
      <c r="V109" s="16">
        <f t="shared" si="6"/>
        <v>0</v>
      </c>
      <c r="W109" s="16"/>
    </row>
    <row r="110" spans="1:23" s="17" customFormat="1" ht="48.75" customHeight="1" x14ac:dyDescent="0.2">
      <c r="A110" s="88"/>
      <c r="B110" s="89"/>
      <c r="C110" s="105" t="s">
        <v>127</v>
      </c>
      <c r="D110" s="199" t="s">
        <v>73</v>
      </c>
      <c r="E110" s="341"/>
      <c r="F110" s="349" t="s">
        <v>13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15">
        <v>425000</v>
      </c>
      <c r="M110" s="15">
        <v>510000</v>
      </c>
      <c r="N110" s="15">
        <f>225000-14520</f>
        <v>210480</v>
      </c>
      <c r="O110" s="15">
        <f t="shared" si="4"/>
        <v>1145480</v>
      </c>
      <c r="P110" s="15">
        <v>0</v>
      </c>
      <c r="Q110" s="15">
        <v>250000</v>
      </c>
      <c r="R110" s="15">
        <v>264500</v>
      </c>
      <c r="S110" s="15">
        <v>300000</v>
      </c>
      <c r="T110" s="15">
        <v>317400</v>
      </c>
      <c r="U110" s="15">
        <f t="shared" si="5"/>
        <v>2277380</v>
      </c>
      <c r="V110" s="16">
        <f t="shared" si="6"/>
        <v>0</v>
      </c>
      <c r="W110" s="16"/>
    </row>
    <row r="111" spans="1:23" s="17" customFormat="1" ht="46.5" customHeight="1" x14ac:dyDescent="0.2">
      <c r="A111" s="332"/>
      <c r="B111" s="333"/>
      <c r="C111" s="105" t="s">
        <v>128</v>
      </c>
      <c r="D111" s="199" t="s">
        <v>71</v>
      </c>
      <c r="E111" s="330"/>
      <c r="F111" s="349" t="s">
        <v>13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15">
        <v>0</v>
      </c>
      <c r="M111" s="15">
        <v>400</v>
      </c>
      <c r="N111" s="15">
        <v>0</v>
      </c>
      <c r="O111" s="15">
        <f t="shared" si="4"/>
        <v>400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f t="shared" si="5"/>
        <v>400</v>
      </c>
      <c r="V111" s="16">
        <f t="shared" si="6"/>
        <v>0</v>
      </c>
      <c r="W111" s="16"/>
    </row>
    <row r="112" spans="1:23" s="17" customFormat="1" ht="63.75" customHeight="1" x14ac:dyDescent="0.2">
      <c r="A112" s="88"/>
      <c r="B112" s="89"/>
      <c r="C112" s="105" t="s">
        <v>387</v>
      </c>
      <c r="D112" s="199" t="s">
        <v>71</v>
      </c>
      <c r="E112" s="341"/>
      <c r="F112" s="349" t="s">
        <v>13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15">
        <v>0</v>
      </c>
      <c r="M112" s="15">
        <v>300</v>
      </c>
      <c r="N112" s="15">
        <v>0</v>
      </c>
      <c r="O112" s="15">
        <f t="shared" si="4"/>
        <v>300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f t="shared" si="5"/>
        <v>300</v>
      </c>
      <c r="V112" s="16">
        <f t="shared" si="6"/>
        <v>0</v>
      </c>
      <c r="W112" s="16"/>
    </row>
    <row r="113" spans="1:23" s="17" customFormat="1" ht="47.25" customHeight="1" x14ac:dyDescent="0.2">
      <c r="A113" s="88"/>
      <c r="B113" s="89"/>
      <c r="C113" s="105" t="s">
        <v>129</v>
      </c>
      <c r="D113" s="199" t="s">
        <v>71</v>
      </c>
      <c r="E113" s="341"/>
      <c r="F113" s="349" t="s">
        <v>13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15">
        <v>0</v>
      </c>
      <c r="M113" s="15">
        <v>200</v>
      </c>
      <c r="N113" s="15">
        <v>0</v>
      </c>
      <c r="O113" s="15">
        <f t="shared" si="4"/>
        <v>200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f t="shared" si="5"/>
        <v>200</v>
      </c>
      <c r="V113" s="16">
        <f t="shared" si="6"/>
        <v>0</v>
      </c>
      <c r="W113" s="16"/>
    </row>
    <row r="114" spans="1:23" s="17" customFormat="1" ht="51" customHeight="1" x14ac:dyDescent="0.2">
      <c r="A114" s="91"/>
      <c r="B114" s="92"/>
      <c r="C114" s="105" t="s">
        <v>364</v>
      </c>
      <c r="D114" s="375" t="s">
        <v>71</v>
      </c>
      <c r="E114" s="340"/>
      <c r="F114" s="358" t="s">
        <v>13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15">
        <v>0</v>
      </c>
      <c r="M114" s="15">
        <v>120</v>
      </c>
      <c r="N114" s="15">
        <v>0</v>
      </c>
      <c r="O114" s="15">
        <f t="shared" si="4"/>
        <v>120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f t="shared" si="5"/>
        <v>120</v>
      </c>
      <c r="V114" s="16">
        <f t="shared" si="6"/>
        <v>0</v>
      </c>
      <c r="W114" s="16"/>
    </row>
    <row r="115" spans="1:23" s="17" customFormat="1" ht="45.75" customHeight="1" x14ac:dyDescent="0.2">
      <c r="A115" s="91"/>
      <c r="B115" s="92"/>
      <c r="C115" s="105" t="s">
        <v>365</v>
      </c>
      <c r="D115" s="55" t="s">
        <v>71</v>
      </c>
      <c r="E115" s="340"/>
      <c r="F115" s="358" t="s">
        <v>13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15">
        <v>0</v>
      </c>
      <c r="M115" s="15">
        <v>135</v>
      </c>
      <c r="N115" s="15">
        <v>0</v>
      </c>
      <c r="O115" s="15">
        <f t="shared" si="4"/>
        <v>135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f t="shared" si="5"/>
        <v>135</v>
      </c>
      <c r="V115" s="16">
        <f t="shared" si="6"/>
        <v>0</v>
      </c>
      <c r="W115" s="16"/>
    </row>
    <row r="116" spans="1:23" s="17" customFormat="1" ht="48" customHeight="1" x14ac:dyDescent="0.2">
      <c r="A116" s="88"/>
      <c r="B116" s="89"/>
      <c r="C116" s="105" t="s">
        <v>366</v>
      </c>
      <c r="D116" s="199" t="s">
        <v>71</v>
      </c>
      <c r="E116" s="341"/>
      <c r="F116" s="349" t="s">
        <v>13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15">
        <v>0</v>
      </c>
      <c r="M116" s="15">
        <v>150</v>
      </c>
      <c r="N116" s="15">
        <v>0</v>
      </c>
      <c r="O116" s="15">
        <f t="shared" si="4"/>
        <v>150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f t="shared" si="5"/>
        <v>150</v>
      </c>
      <c r="V116" s="16">
        <f t="shared" si="6"/>
        <v>0</v>
      </c>
      <c r="W116" s="16"/>
    </row>
    <row r="117" spans="1:23" s="17" customFormat="1" ht="46.5" customHeight="1" x14ac:dyDescent="0.2">
      <c r="A117" s="94"/>
      <c r="B117" s="92"/>
      <c r="C117" s="83" t="s">
        <v>130</v>
      </c>
      <c r="D117" s="372" t="s">
        <v>71</v>
      </c>
      <c r="E117" s="340"/>
      <c r="F117" s="358" t="s">
        <v>13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15">
        <v>0</v>
      </c>
      <c r="M117" s="15">
        <v>320</v>
      </c>
      <c r="N117" s="15">
        <v>0</v>
      </c>
      <c r="O117" s="15">
        <f t="shared" si="4"/>
        <v>320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f t="shared" si="5"/>
        <v>320</v>
      </c>
      <c r="V117" s="16">
        <f t="shared" si="6"/>
        <v>0</v>
      </c>
      <c r="W117" s="16"/>
    </row>
    <row r="118" spans="1:23" s="17" customFormat="1" ht="56.25" customHeight="1" x14ac:dyDescent="0.2">
      <c r="A118" s="94"/>
      <c r="B118" s="92"/>
      <c r="C118" s="374" t="s">
        <v>131</v>
      </c>
      <c r="D118" s="354" t="s">
        <v>71</v>
      </c>
      <c r="E118" s="340"/>
      <c r="F118" s="358" t="s">
        <v>13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15">
        <v>500</v>
      </c>
      <c r="M118" s="15">
        <v>0</v>
      </c>
      <c r="N118" s="15">
        <v>0</v>
      </c>
      <c r="O118" s="15">
        <f t="shared" si="4"/>
        <v>500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f t="shared" si="5"/>
        <v>500</v>
      </c>
      <c r="V118" s="16">
        <f t="shared" si="6"/>
        <v>0</v>
      </c>
      <c r="W118" s="16"/>
    </row>
    <row r="119" spans="1:23" s="17" customFormat="1" ht="50.25" customHeight="1" x14ac:dyDescent="0.2">
      <c r="A119" s="88"/>
      <c r="B119" s="89"/>
      <c r="C119" s="105" t="s">
        <v>132</v>
      </c>
      <c r="D119" s="199" t="s">
        <v>71</v>
      </c>
      <c r="E119" s="341"/>
      <c r="F119" s="349" t="s">
        <v>13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15">
        <v>0</v>
      </c>
      <c r="M119" s="15">
        <v>500</v>
      </c>
      <c r="N119" s="15">
        <v>0</v>
      </c>
      <c r="O119" s="15">
        <f t="shared" si="4"/>
        <v>500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f t="shared" si="5"/>
        <v>500</v>
      </c>
      <c r="V119" s="16">
        <f t="shared" si="6"/>
        <v>0</v>
      </c>
      <c r="W119" s="16"/>
    </row>
    <row r="120" spans="1:23" s="17" customFormat="1" ht="48" customHeight="1" x14ac:dyDescent="0.2">
      <c r="A120" s="88"/>
      <c r="B120" s="89"/>
      <c r="C120" s="105" t="s">
        <v>133</v>
      </c>
      <c r="D120" s="199" t="s">
        <v>71</v>
      </c>
      <c r="E120" s="341"/>
      <c r="F120" s="349" t="s">
        <v>13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15">
        <v>410</v>
      </c>
      <c r="M120" s="15">
        <v>0</v>
      </c>
      <c r="N120" s="15">
        <v>0</v>
      </c>
      <c r="O120" s="15">
        <f t="shared" si="4"/>
        <v>410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f t="shared" si="5"/>
        <v>410</v>
      </c>
      <c r="V120" s="16">
        <f t="shared" si="6"/>
        <v>0</v>
      </c>
      <c r="W120" s="16"/>
    </row>
    <row r="121" spans="1:23" s="17" customFormat="1" ht="39.75" customHeight="1" x14ac:dyDescent="0.2">
      <c r="A121" s="88"/>
      <c r="B121" s="89"/>
      <c r="C121" s="105" t="s">
        <v>134</v>
      </c>
      <c r="D121" s="199" t="s">
        <v>71</v>
      </c>
      <c r="E121" s="341"/>
      <c r="F121" s="349" t="s">
        <v>13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15">
        <v>0</v>
      </c>
      <c r="M121" s="15">
        <v>0</v>
      </c>
      <c r="N121" s="15">
        <v>15000</v>
      </c>
      <c r="O121" s="15">
        <f t="shared" si="4"/>
        <v>15000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f t="shared" si="5"/>
        <v>15000</v>
      </c>
      <c r="V121" s="16">
        <f t="shared" si="6"/>
        <v>0</v>
      </c>
      <c r="W121" s="16"/>
    </row>
    <row r="122" spans="1:23" s="17" customFormat="1" ht="47.25" customHeight="1" x14ac:dyDescent="0.2">
      <c r="A122" s="88"/>
      <c r="B122" s="89"/>
      <c r="C122" s="105" t="s">
        <v>135</v>
      </c>
      <c r="D122" s="199" t="s">
        <v>71</v>
      </c>
      <c r="E122" s="341"/>
      <c r="F122" s="349" t="s">
        <v>13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15">
        <v>0</v>
      </c>
      <c r="M122" s="15">
        <v>0</v>
      </c>
      <c r="N122" s="15">
        <v>3400</v>
      </c>
      <c r="O122" s="15">
        <f t="shared" si="4"/>
        <v>3400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f t="shared" si="5"/>
        <v>3400</v>
      </c>
      <c r="V122" s="16">
        <f t="shared" si="6"/>
        <v>0</v>
      </c>
      <c r="W122" s="16"/>
    </row>
    <row r="123" spans="1:23" s="17" customFormat="1" ht="45.75" customHeight="1" x14ac:dyDescent="0.2">
      <c r="A123" s="91"/>
      <c r="B123" s="92"/>
      <c r="C123" s="105" t="s">
        <v>136</v>
      </c>
      <c r="D123" s="199" t="s">
        <v>71</v>
      </c>
      <c r="E123" s="341"/>
      <c r="F123" s="349" t="s">
        <v>13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15">
        <v>0</v>
      </c>
      <c r="M123" s="15">
        <v>0</v>
      </c>
      <c r="N123" s="15">
        <v>1200</v>
      </c>
      <c r="O123" s="15">
        <f t="shared" si="4"/>
        <v>1200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f t="shared" si="5"/>
        <v>1200</v>
      </c>
      <c r="V123" s="16">
        <f t="shared" si="6"/>
        <v>0</v>
      </c>
      <c r="W123" s="16"/>
    </row>
    <row r="124" spans="1:23" s="17" customFormat="1" ht="48.75" customHeight="1" x14ac:dyDescent="0.2">
      <c r="A124" s="91"/>
      <c r="B124" s="92"/>
      <c r="C124" s="105" t="s">
        <v>137</v>
      </c>
      <c r="D124" s="199" t="s">
        <v>71</v>
      </c>
      <c r="E124" s="341"/>
      <c r="F124" s="349" t="s">
        <v>13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15">
        <v>0</v>
      </c>
      <c r="M124" s="15">
        <v>1000</v>
      </c>
      <c r="N124" s="15">
        <v>0</v>
      </c>
      <c r="O124" s="15">
        <f t="shared" si="4"/>
        <v>1000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f t="shared" si="5"/>
        <v>1000</v>
      </c>
      <c r="V124" s="16">
        <f t="shared" si="6"/>
        <v>0</v>
      </c>
      <c r="W124" s="16"/>
    </row>
    <row r="125" spans="1:23" s="17" customFormat="1" ht="44.25" customHeight="1" x14ac:dyDescent="0.2">
      <c r="A125" s="91"/>
      <c r="B125" s="92"/>
      <c r="C125" s="105" t="s">
        <v>138</v>
      </c>
      <c r="D125" s="199" t="s">
        <v>71</v>
      </c>
      <c r="E125" s="341"/>
      <c r="F125" s="349" t="s">
        <v>13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15">
        <v>0</v>
      </c>
      <c r="M125" s="15">
        <v>0</v>
      </c>
      <c r="N125" s="15">
        <v>300</v>
      </c>
      <c r="O125" s="15">
        <f t="shared" si="4"/>
        <v>300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f t="shared" si="5"/>
        <v>300</v>
      </c>
      <c r="V125" s="16">
        <f t="shared" si="6"/>
        <v>0</v>
      </c>
      <c r="W125" s="16"/>
    </row>
    <row r="126" spans="1:23" s="17" customFormat="1" ht="48.75" customHeight="1" x14ac:dyDescent="0.2">
      <c r="A126" s="88"/>
      <c r="B126" s="89"/>
      <c r="C126" s="105" t="s">
        <v>139</v>
      </c>
      <c r="D126" s="199" t="s">
        <v>71</v>
      </c>
      <c r="E126" s="341"/>
      <c r="F126" s="349" t="s">
        <v>13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15">
        <v>0</v>
      </c>
      <c r="M126" s="15">
        <v>0</v>
      </c>
      <c r="N126" s="15">
        <v>350</v>
      </c>
      <c r="O126" s="15">
        <f t="shared" si="4"/>
        <v>350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f t="shared" si="5"/>
        <v>350</v>
      </c>
      <c r="V126" s="16">
        <f t="shared" si="6"/>
        <v>0</v>
      </c>
      <c r="W126" s="16"/>
    </row>
    <row r="127" spans="1:23" s="17" customFormat="1" ht="43.5" customHeight="1" x14ac:dyDescent="0.2">
      <c r="A127" s="91"/>
      <c r="B127" s="92"/>
      <c r="C127" s="105" t="s">
        <v>140</v>
      </c>
      <c r="D127" s="372" t="s">
        <v>71</v>
      </c>
      <c r="E127" s="340"/>
      <c r="F127" s="358" t="s">
        <v>13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15">
        <v>0</v>
      </c>
      <c r="M127" s="15">
        <v>0</v>
      </c>
      <c r="N127" s="15">
        <v>400</v>
      </c>
      <c r="O127" s="15">
        <f t="shared" si="4"/>
        <v>400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f t="shared" si="5"/>
        <v>400</v>
      </c>
      <c r="V127" s="16">
        <f t="shared" si="6"/>
        <v>0</v>
      </c>
      <c r="W127" s="16"/>
    </row>
    <row r="128" spans="1:23" s="17" customFormat="1" ht="45.75" customHeight="1" x14ac:dyDescent="0.2">
      <c r="A128" s="88"/>
      <c r="B128" s="89"/>
      <c r="C128" s="105" t="s">
        <v>141</v>
      </c>
      <c r="D128" s="199" t="s">
        <v>71</v>
      </c>
      <c r="E128" s="341"/>
      <c r="F128" s="349" t="s">
        <v>13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15">
        <v>0</v>
      </c>
      <c r="M128" s="15">
        <f>5000-5000</f>
        <v>0</v>
      </c>
      <c r="N128" s="15">
        <v>0</v>
      </c>
      <c r="O128" s="15">
        <f t="shared" si="4"/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f t="shared" si="5"/>
        <v>0</v>
      </c>
      <c r="V128" s="16">
        <f t="shared" si="6"/>
        <v>0</v>
      </c>
      <c r="W128" s="16"/>
    </row>
    <row r="129" spans="1:23" s="17" customFormat="1" ht="39.75" customHeight="1" x14ac:dyDescent="0.2">
      <c r="A129" s="332"/>
      <c r="B129" s="333"/>
      <c r="C129" s="105" t="s">
        <v>142</v>
      </c>
      <c r="D129" s="199" t="s">
        <v>71</v>
      </c>
      <c r="E129" s="330"/>
      <c r="F129" s="349" t="s">
        <v>13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15">
        <v>0</v>
      </c>
      <c r="M129" s="15">
        <v>0</v>
      </c>
      <c r="N129" s="15">
        <v>12000</v>
      </c>
      <c r="O129" s="15">
        <f t="shared" si="4"/>
        <v>12000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f t="shared" si="5"/>
        <v>12000</v>
      </c>
      <c r="V129" s="16">
        <f t="shared" si="6"/>
        <v>0</v>
      </c>
      <c r="W129" s="16"/>
    </row>
    <row r="130" spans="1:23" s="17" customFormat="1" ht="50.25" customHeight="1" x14ac:dyDescent="0.2">
      <c r="A130" s="88"/>
      <c r="B130" s="89"/>
      <c r="C130" s="105" t="s">
        <v>143</v>
      </c>
      <c r="D130" s="199" t="s">
        <v>71</v>
      </c>
      <c r="E130" s="341"/>
      <c r="F130" s="349" t="s">
        <v>13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15">
        <v>0</v>
      </c>
      <c r="M130" s="15">
        <f>18000-488.9+99.5</f>
        <v>17610.599999999999</v>
      </c>
      <c r="N130" s="15">
        <v>0</v>
      </c>
      <c r="O130" s="15">
        <f t="shared" si="4"/>
        <v>17610.599999999999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f t="shared" si="5"/>
        <v>17610.599999999999</v>
      </c>
      <c r="V130" s="16">
        <f t="shared" si="6"/>
        <v>0</v>
      </c>
      <c r="W130" s="16"/>
    </row>
    <row r="131" spans="1:23" s="17" customFormat="1" ht="48" customHeight="1" x14ac:dyDescent="0.2">
      <c r="A131" s="88"/>
      <c r="B131" s="89"/>
      <c r="C131" s="105" t="s">
        <v>144</v>
      </c>
      <c r="D131" s="199" t="s">
        <v>71</v>
      </c>
      <c r="E131" s="341"/>
      <c r="F131" s="349" t="s">
        <v>13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15">
        <v>0</v>
      </c>
      <c r="M131" s="15">
        <v>0</v>
      </c>
      <c r="N131" s="15">
        <v>18000</v>
      </c>
      <c r="O131" s="15">
        <f t="shared" si="4"/>
        <v>18000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f t="shared" si="5"/>
        <v>18000</v>
      </c>
      <c r="V131" s="16">
        <f t="shared" si="6"/>
        <v>0</v>
      </c>
      <c r="W131" s="16"/>
    </row>
    <row r="132" spans="1:23" s="17" customFormat="1" ht="52.5" customHeight="1" x14ac:dyDescent="0.2">
      <c r="A132" s="88"/>
      <c r="B132" s="89"/>
      <c r="C132" s="105" t="s">
        <v>367</v>
      </c>
      <c r="D132" s="199" t="s">
        <v>71</v>
      </c>
      <c r="E132" s="341"/>
      <c r="F132" s="349" t="s">
        <v>13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15">
        <v>0</v>
      </c>
      <c r="M132" s="15">
        <v>120</v>
      </c>
      <c r="N132" s="15">
        <v>0</v>
      </c>
      <c r="O132" s="15">
        <f t="shared" si="4"/>
        <v>120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f t="shared" si="5"/>
        <v>120</v>
      </c>
      <c r="V132" s="16">
        <f t="shared" si="6"/>
        <v>0</v>
      </c>
      <c r="W132" s="16"/>
    </row>
    <row r="133" spans="1:23" s="17" customFormat="1" ht="60.75" customHeight="1" x14ac:dyDescent="0.2">
      <c r="A133" s="91"/>
      <c r="B133" s="92"/>
      <c r="C133" s="105" t="s">
        <v>325</v>
      </c>
      <c r="D133" s="375" t="s">
        <v>71</v>
      </c>
      <c r="E133" s="340"/>
      <c r="F133" s="358" t="s">
        <v>13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15">
        <v>0</v>
      </c>
      <c r="M133" s="15">
        <v>135</v>
      </c>
      <c r="N133" s="15">
        <v>0</v>
      </c>
      <c r="O133" s="15">
        <f t="shared" si="4"/>
        <v>135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f t="shared" si="5"/>
        <v>135</v>
      </c>
      <c r="V133" s="16">
        <f t="shared" si="6"/>
        <v>0</v>
      </c>
      <c r="W133" s="16"/>
    </row>
    <row r="134" spans="1:23" s="17" customFormat="1" ht="45.75" customHeight="1" x14ac:dyDescent="0.2">
      <c r="A134" s="91"/>
      <c r="B134" s="92"/>
      <c r="C134" s="105" t="s">
        <v>145</v>
      </c>
      <c r="D134" s="375" t="s">
        <v>71</v>
      </c>
      <c r="E134" s="340"/>
      <c r="F134" s="358" t="s">
        <v>13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15">
        <v>0</v>
      </c>
      <c r="M134" s="15">
        <v>0</v>
      </c>
      <c r="N134" s="15">
        <v>300</v>
      </c>
      <c r="O134" s="15">
        <f t="shared" si="4"/>
        <v>300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f t="shared" si="5"/>
        <v>300</v>
      </c>
      <c r="V134" s="16">
        <f t="shared" si="6"/>
        <v>0</v>
      </c>
      <c r="W134" s="16"/>
    </row>
    <row r="135" spans="1:23" s="17" customFormat="1" ht="48.75" customHeight="1" x14ac:dyDescent="0.2">
      <c r="A135" s="88"/>
      <c r="B135" s="89"/>
      <c r="C135" s="105" t="s">
        <v>368</v>
      </c>
      <c r="D135" s="199" t="s">
        <v>71</v>
      </c>
      <c r="E135" s="341"/>
      <c r="F135" s="349" t="s">
        <v>13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15">
        <v>0</v>
      </c>
      <c r="M135" s="15">
        <v>0</v>
      </c>
      <c r="N135" s="15">
        <v>350</v>
      </c>
      <c r="O135" s="15">
        <f t="shared" si="4"/>
        <v>350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f t="shared" si="5"/>
        <v>350</v>
      </c>
      <c r="V135" s="16">
        <f t="shared" si="6"/>
        <v>0</v>
      </c>
      <c r="W135" s="16"/>
    </row>
    <row r="136" spans="1:23" s="17" customFormat="1" ht="43.5" customHeight="1" x14ac:dyDescent="0.2">
      <c r="A136" s="91"/>
      <c r="B136" s="92"/>
      <c r="C136" s="83" t="s">
        <v>369</v>
      </c>
      <c r="D136" s="372" t="s">
        <v>71</v>
      </c>
      <c r="E136" s="340"/>
      <c r="F136" s="358" t="s">
        <v>13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15">
        <f>700-700</f>
        <v>0</v>
      </c>
      <c r="M136" s="15">
        <f>880</f>
        <v>880</v>
      </c>
      <c r="N136" s="15">
        <v>0</v>
      </c>
      <c r="O136" s="15">
        <f t="shared" si="4"/>
        <v>880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f t="shared" si="5"/>
        <v>880</v>
      </c>
      <c r="V136" s="16">
        <f t="shared" si="6"/>
        <v>0</v>
      </c>
      <c r="W136" s="16"/>
    </row>
    <row r="137" spans="1:23" s="17" customFormat="1" ht="53.25" customHeight="1" x14ac:dyDescent="0.2">
      <c r="A137" s="91"/>
      <c r="B137" s="92"/>
      <c r="C137" s="374" t="s">
        <v>370</v>
      </c>
      <c r="D137" s="354" t="s">
        <v>71</v>
      </c>
      <c r="E137" s="340"/>
      <c r="F137" s="358" t="s">
        <v>13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15">
        <v>0</v>
      </c>
      <c r="M137" s="15">
        <v>1750</v>
      </c>
      <c r="N137" s="15">
        <v>2200</v>
      </c>
      <c r="O137" s="15">
        <f t="shared" si="4"/>
        <v>3950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f t="shared" si="5"/>
        <v>3950</v>
      </c>
      <c r="V137" s="16">
        <f t="shared" si="6"/>
        <v>0</v>
      </c>
      <c r="W137" s="16"/>
    </row>
    <row r="138" spans="1:23" s="17" customFormat="1" ht="57" customHeight="1" x14ac:dyDescent="0.2">
      <c r="A138" s="88"/>
      <c r="B138" s="89"/>
      <c r="C138" s="105" t="s">
        <v>146</v>
      </c>
      <c r="D138" s="199" t="s">
        <v>71</v>
      </c>
      <c r="E138" s="341"/>
      <c r="F138" s="349" t="s">
        <v>13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15">
        <v>500</v>
      </c>
      <c r="M138" s="15">
        <v>0</v>
      </c>
      <c r="N138" s="15">
        <v>0</v>
      </c>
      <c r="O138" s="15">
        <f t="shared" si="4"/>
        <v>500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f t="shared" si="5"/>
        <v>500</v>
      </c>
      <c r="V138" s="16">
        <f t="shared" si="6"/>
        <v>0</v>
      </c>
      <c r="W138" s="16"/>
    </row>
    <row r="139" spans="1:23" s="17" customFormat="1" ht="49.5" customHeight="1" x14ac:dyDescent="0.2">
      <c r="A139" s="88"/>
      <c r="B139" s="89"/>
      <c r="C139" s="105" t="s">
        <v>147</v>
      </c>
      <c r="D139" s="199" t="s">
        <v>71</v>
      </c>
      <c r="E139" s="341"/>
      <c r="F139" s="349" t="s">
        <v>13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15">
        <v>0</v>
      </c>
      <c r="M139" s="15">
        <f>2000</f>
        <v>2000</v>
      </c>
      <c r="N139" s="15">
        <v>0</v>
      </c>
      <c r="O139" s="15">
        <f t="shared" si="4"/>
        <v>2000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f t="shared" si="5"/>
        <v>2000</v>
      </c>
      <c r="V139" s="16">
        <f t="shared" si="6"/>
        <v>0</v>
      </c>
      <c r="W139" s="16"/>
    </row>
    <row r="140" spans="1:23" s="17" customFormat="1" ht="49.5" customHeight="1" x14ac:dyDescent="0.2">
      <c r="A140" s="88"/>
      <c r="B140" s="89"/>
      <c r="C140" s="105" t="s">
        <v>148</v>
      </c>
      <c r="D140" s="199" t="s">
        <v>73</v>
      </c>
      <c r="E140" s="341"/>
      <c r="F140" s="349" t="s">
        <v>13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15">
        <v>20000</v>
      </c>
      <c r="M140" s="15">
        <f>22000+28000</f>
        <v>50000</v>
      </c>
      <c r="N140" s="15">
        <f>24200+265.6</f>
        <v>24465.599999999999</v>
      </c>
      <c r="O140" s="15">
        <f t="shared" si="4"/>
        <v>94465.600000000006</v>
      </c>
      <c r="P140" s="15">
        <v>33993</v>
      </c>
      <c r="Q140" s="15">
        <v>36372.51</v>
      </c>
      <c r="R140" s="15">
        <v>38482.115580000005</v>
      </c>
      <c r="S140" s="15">
        <v>40714.07828364001</v>
      </c>
      <c r="T140" s="15">
        <v>43075.494824091133</v>
      </c>
      <c r="U140" s="15">
        <f t="shared" si="5"/>
        <v>287102.79868773115</v>
      </c>
      <c r="V140" s="16">
        <f t="shared" si="6"/>
        <v>0</v>
      </c>
      <c r="W140" s="16"/>
    </row>
    <row r="141" spans="1:23" s="17" customFormat="1" ht="42.75" customHeight="1" x14ac:dyDescent="0.2">
      <c r="A141" s="88"/>
      <c r="B141" s="89"/>
      <c r="C141" s="105" t="s">
        <v>149</v>
      </c>
      <c r="D141" s="199" t="s">
        <v>71</v>
      </c>
      <c r="E141" s="341"/>
      <c r="F141" s="349" t="s">
        <v>13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15">
        <f>4000+349.7-4349.7</f>
        <v>0</v>
      </c>
      <c r="M141" s="15">
        <f>0+4349.7</f>
        <v>4349.7</v>
      </c>
      <c r="N141" s="15">
        <f>2100-2100</f>
        <v>0</v>
      </c>
      <c r="O141" s="15">
        <f t="shared" ref="O141:O204" si="8">G141+H141+I141+J141+K141+L141+M141+N141</f>
        <v>4349.7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f t="shared" ref="U141:U204" si="9">SUM(G141:T141)-O141</f>
        <v>4349.7</v>
      </c>
      <c r="V141" s="16">
        <f t="shared" ref="V141:V204" si="10">G141+H141+I141+J141+K141+L141+M141+N141+P141+Q141+R141+S141+T141-U141</f>
        <v>0</v>
      </c>
      <c r="W141" s="16"/>
    </row>
    <row r="142" spans="1:23" s="17" customFormat="1" ht="43.5" customHeight="1" x14ac:dyDescent="0.2">
      <c r="A142" s="88"/>
      <c r="B142" s="89"/>
      <c r="C142" s="105" t="s">
        <v>150</v>
      </c>
      <c r="D142" s="199" t="s">
        <v>71</v>
      </c>
      <c r="E142" s="341"/>
      <c r="F142" s="349" t="s">
        <v>13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15">
        <v>4500</v>
      </c>
      <c r="M142" s="15">
        <f>5000-5000</f>
        <v>0</v>
      </c>
      <c r="N142" s="15">
        <v>5500</v>
      </c>
      <c r="O142" s="15">
        <f t="shared" si="8"/>
        <v>10000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f t="shared" si="9"/>
        <v>10000</v>
      </c>
      <c r="V142" s="16">
        <f t="shared" si="10"/>
        <v>0</v>
      </c>
      <c r="W142" s="16"/>
    </row>
    <row r="143" spans="1:23" s="17" customFormat="1" ht="45" customHeight="1" x14ac:dyDescent="0.2">
      <c r="A143" s="88"/>
      <c r="B143" s="89"/>
      <c r="C143" s="105" t="s">
        <v>151</v>
      </c>
      <c r="D143" s="199" t="s">
        <v>71</v>
      </c>
      <c r="E143" s="341"/>
      <c r="F143" s="349" t="s">
        <v>13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15">
        <f>4000-349.7</f>
        <v>3650.3</v>
      </c>
      <c r="M143" s="15">
        <v>0</v>
      </c>
      <c r="N143" s="15">
        <v>0</v>
      </c>
      <c r="O143" s="15">
        <f t="shared" si="8"/>
        <v>3650.3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f t="shared" si="9"/>
        <v>3650.3</v>
      </c>
      <c r="V143" s="16">
        <f t="shared" si="10"/>
        <v>0</v>
      </c>
      <c r="W143" s="16"/>
    </row>
    <row r="144" spans="1:23" s="17" customFormat="1" ht="43.5" customHeight="1" x14ac:dyDescent="0.2">
      <c r="A144" s="88"/>
      <c r="B144" s="89"/>
      <c r="C144" s="105" t="s">
        <v>152</v>
      </c>
      <c r="D144" s="199" t="s">
        <v>73</v>
      </c>
      <c r="E144" s="341"/>
      <c r="F144" s="349" t="s">
        <v>13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15">
        <v>0</v>
      </c>
      <c r="M144" s="15">
        <f>2500</f>
        <v>2500</v>
      </c>
      <c r="N144" s="15">
        <v>0</v>
      </c>
      <c r="O144" s="15">
        <f t="shared" si="8"/>
        <v>2500</v>
      </c>
      <c r="P144" s="15">
        <v>0</v>
      </c>
      <c r="Q144" s="15">
        <v>0</v>
      </c>
      <c r="R144" s="15">
        <v>0</v>
      </c>
      <c r="S144" s="15">
        <v>0</v>
      </c>
      <c r="T144" s="15">
        <v>7800</v>
      </c>
      <c r="U144" s="15">
        <f t="shared" si="9"/>
        <v>10300</v>
      </c>
      <c r="V144" s="16">
        <f t="shared" si="10"/>
        <v>0</v>
      </c>
      <c r="W144" s="16"/>
    </row>
    <row r="145" spans="1:23" s="17" customFormat="1" ht="50.25" customHeight="1" x14ac:dyDescent="0.2">
      <c r="A145" s="88"/>
      <c r="B145" s="89"/>
      <c r="C145" s="105" t="s">
        <v>153</v>
      </c>
      <c r="D145" s="199" t="s">
        <v>73</v>
      </c>
      <c r="E145" s="341"/>
      <c r="F145" s="349" t="s">
        <v>13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15">
        <v>2500</v>
      </c>
      <c r="M145" s="15">
        <v>2750</v>
      </c>
      <c r="N145" s="15">
        <f>2900+2100-500</f>
        <v>4500</v>
      </c>
      <c r="O145" s="15">
        <f t="shared" si="8"/>
        <v>9750</v>
      </c>
      <c r="P145" s="15">
        <v>6500</v>
      </c>
      <c r="Q145" s="15">
        <v>0</v>
      </c>
      <c r="R145" s="15">
        <v>7100</v>
      </c>
      <c r="S145" s="15">
        <v>0</v>
      </c>
      <c r="T145" s="15">
        <v>0</v>
      </c>
      <c r="U145" s="15">
        <f t="shared" si="9"/>
        <v>23350</v>
      </c>
      <c r="V145" s="16">
        <f t="shared" si="10"/>
        <v>0</v>
      </c>
      <c r="W145" s="16"/>
    </row>
    <row r="146" spans="1:23" s="17" customFormat="1" ht="48" customHeight="1" x14ac:dyDescent="0.2">
      <c r="A146" s="334"/>
      <c r="B146" s="335"/>
      <c r="C146" s="105" t="s">
        <v>154</v>
      </c>
      <c r="D146" s="372" t="s">
        <v>71</v>
      </c>
      <c r="E146" s="66"/>
      <c r="F146" s="358" t="s">
        <v>13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15">
        <v>900</v>
      </c>
      <c r="M146" s="15">
        <v>0</v>
      </c>
      <c r="N146" s="15">
        <v>1100</v>
      </c>
      <c r="O146" s="15">
        <f t="shared" si="8"/>
        <v>2000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f t="shared" si="9"/>
        <v>2000</v>
      </c>
      <c r="V146" s="16">
        <f t="shared" si="10"/>
        <v>0</v>
      </c>
      <c r="W146" s="16"/>
    </row>
    <row r="147" spans="1:23" s="17" customFormat="1" ht="45" customHeight="1" x14ac:dyDescent="0.2">
      <c r="A147" s="94"/>
      <c r="B147" s="92"/>
      <c r="C147" s="105" t="s">
        <v>155</v>
      </c>
      <c r="D147" s="349" t="s">
        <v>71</v>
      </c>
      <c r="E147" s="340"/>
      <c r="F147" s="358" t="s">
        <v>13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15">
        <v>300</v>
      </c>
      <c r="M147" s="15">
        <f>330-330</f>
        <v>0</v>
      </c>
      <c r="N147" s="15">
        <f>370-265.6</f>
        <v>104.39999999999998</v>
      </c>
      <c r="O147" s="15">
        <f t="shared" si="8"/>
        <v>404.4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f t="shared" si="9"/>
        <v>404.4</v>
      </c>
      <c r="V147" s="16">
        <f t="shared" si="10"/>
        <v>0</v>
      </c>
      <c r="W147" s="16"/>
    </row>
    <row r="148" spans="1:23" s="17" customFormat="1" ht="39.75" customHeight="1" x14ac:dyDescent="0.2">
      <c r="A148" s="88"/>
      <c r="B148" s="89"/>
      <c r="C148" s="105" t="s">
        <v>156</v>
      </c>
      <c r="D148" s="199" t="s">
        <v>73</v>
      </c>
      <c r="E148" s="341"/>
      <c r="F148" s="349" t="s">
        <v>13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15">
        <v>0</v>
      </c>
      <c r="M148" s="15">
        <v>0</v>
      </c>
      <c r="N148" s="15">
        <v>4000</v>
      </c>
      <c r="O148" s="15">
        <f t="shared" si="8"/>
        <v>4000</v>
      </c>
      <c r="P148" s="15">
        <v>0</v>
      </c>
      <c r="Q148" s="15">
        <v>0</v>
      </c>
      <c r="R148" s="15">
        <v>0</v>
      </c>
      <c r="S148" s="15">
        <v>6157</v>
      </c>
      <c r="T148" s="15">
        <v>0</v>
      </c>
      <c r="U148" s="15">
        <f t="shared" si="9"/>
        <v>10157</v>
      </c>
      <c r="V148" s="16">
        <f t="shared" si="10"/>
        <v>0</v>
      </c>
      <c r="W148" s="16"/>
    </row>
    <row r="149" spans="1:23" s="17" customFormat="1" ht="57.75" customHeight="1" x14ac:dyDescent="0.2">
      <c r="A149" s="88"/>
      <c r="B149" s="89"/>
      <c r="C149" s="105" t="s">
        <v>157</v>
      </c>
      <c r="D149" s="199" t="s">
        <v>73</v>
      </c>
      <c r="E149" s="341"/>
      <c r="F149" s="349" t="s">
        <v>13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15">
        <v>0</v>
      </c>
      <c r="M149" s="15">
        <f>7000-2000</f>
        <v>5000</v>
      </c>
      <c r="N149" s="15">
        <v>7700</v>
      </c>
      <c r="O149" s="15">
        <f t="shared" si="8"/>
        <v>12700</v>
      </c>
      <c r="P149" s="15">
        <v>0</v>
      </c>
      <c r="Q149" s="15">
        <v>0</v>
      </c>
      <c r="R149" s="15">
        <v>0</v>
      </c>
      <c r="S149" s="15">
        <v>9500</v>
      </c>
      <c r="T149" s="15">
        <v>0</v>
      </c>
      <c r="U149" s="15">
        <f t="shared" si="9"/>
        <v>22200</v>
      </c>
      <c r="V149" s="16">
        <f t="shared" si="10"/>
        <v>0</v>
      </c>
      <c r="W149" s="16"/>
    </row>
    <row r="150" spans="1:23" s="17" customFormat="1" ht="41.25" customHeight="1" x14ac:dyDescent="0.2">
      <c r="A150" s="88"/>
      <c r="B150" s="89"/>
      <c r="C150" s="105" t="s">
        <v>158</v>
      </c>
      <c r="D150" s="199" t="s">
        <v>71</v>
      </c>
      <c r="E150" s="341"/>
      <c r="F150" s="349" t="s">
        <v>13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15">
        <f>5000-2397</f>
        <v>2603</v>
      </c>
      <c r="M150" s="15">
        <f>5500</f>
        <v>5500</v>
      </c>
      <c r="N150" s="15">
        <v>0</v>
      </c>
      <c r="O150" s="15">
        <f t="shared" si="8"/>
        <v>8103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f t="shared" si="9"/>
        <v>8103</v>
      </c>
      <c r="V150" s="16">
        <f t="shared" si="10"/>
        <v>0</v>
      </c>
      <c r="W150" s="16"/>
    </row>
    <row r="151" spans="1:23" s="17" customFormat="1" ht="57.75" customHeight="1" x14ac:dyDescent="0.2">
      <c r="A151" s="88"/>
      <c r="B151" s="89"/>
      <c r="C151" s="105" t="s">
        <v>159</v>
      </c>
      <c r="D151" s="199" t="s">
        <v>73</v>
      </c>
      <c r="E151" s="341"/>
      <c r="F151" s="349" t="s">
        <v>13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15">
        <v>65000</v>
      </c>
      <c r="M151" s="15">
        <v>0</v>
      </c>
      <c r="N151" s="15">
        <v>0</v>
      </c>
      <c r="O151" s="15">
        <f t="shared" si="8"/>
        <v>65000</v>
      </c>
      <c r="P151" s="15">
        <v>0</v>
      </c>
      <c r="Q151" s="15">
        <v>212000</v>
      </c>
      <c r="R151" s="15">
        <v>0</v>
      </c>
      <c r="S151" s="15">
        <v>0</v>
      </c>
      <c r="T151" s="15">
        <v>0</v>
      </c>
      <c r="U151" s="15">
        <f t="shared" si="9"/>
        <v>277000</v>
      </c>
      <c r="V151" s="16">
        <f t="shared" si="10"/>
        <v>0</v>
      </c>
      <c r="W151" s="16"/>
    </row>
    <row r="152" spans="1:23" s="17" customFormat="1" ht="50.25" customHeight="1" x14ac:dyDescent="0.2">
      <c r="A152" s="88"/>
      <c r="B152" s="89"/>
      <c r="C152" s="105" t="s">
        <v>371</v>
      </c>
      <c r="D152" s="199" t="s">
        <v>73</v>
      </c>
      <c r="E152" s="341"/>
      <c r="F152" s="349" t="s">
        <v>13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15">
        <v>0</v>
      </c>
      <c r="M152" s="15">
        <f>7700-7700</f>
        <v>0</v>
      </c>
      <c r="N152" s="15">
        <v>0</v>
      </c>
      <c r="O152" s="15">
        <f t="shared" si="8"/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16300</v>
      </c>
      <c r="U152" s="15">
        <f t="shared" si="9"/>
        <v>16300</v>
      </c>
      <c r="V152" s="16">
        <f t="shared" si="10"/>
        <v>0</v>
      </c>
      <c r="W152" s="16"/>
    </row>
    <row r="153" spans="1:23" s="17" customFormat="1" ht="50.25" customHeight="1" x14ac:dyDescent="0.2">
      <c r="A153" s="88"/>
      <c r="B153" s="90"/>
      <c r="C153" s="83" t="s">
        <v>160</v>
      </c>
      <c r="D153" s="373" t="s">
        <v>73</v>
      </c>
      <c r="E153" s="341"/>
      <c r="F153" s="349" t="s">
        <v>13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15">
        <v>0</v>
      </c>
      <c r="M153" s="15">
        <v>0</v>
      </c>
      <c r="N153" s="15">
        <v>8500</v>
      </c>
      <c r="O153" s="15">
        <f t="shared" si="8"/>
        <v>8500</v>
      </c>
      <c r="P153" s="15">
        <v>0</v>
      </c>
      <c r="Q153" s="15">
        <v>0</v>
      </c>
      <c r="R153" s="15">
        <v>0</v>
      </c>
      <c r="S153" s="15">
        <v>3860</v>
      </c>
      <c r="T153" s="15">
        <v>0</v>
      </c>
      <c r="U153" s="15">
        <f t="shared" si="9"/>
        <v>12360</v>
      </c>
      <c r="V153" s="16">
        <f t="shared" si="10"/>
        <v>0</v>
      </c>
      <c r="W153" s="16"/>
    </row>
    <row r="154" spans="1:23" s="17" customFormat="1" ht="76.5" customHeight="1" x14ac:dyDescent="0.2">
      <c r="A154" s="88"/>
      <c r="B154" s="89"/>
      <c r="C154" s="374" t="s">
        <v>372</v>
      </c>
      <c r="D154" s="353" t="s">
        <v>71</v>
      </c>
      <c r="E154" s="341"/>
      <c r="F154" s="349" t="s">
        <v>13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15">
        <v>78600</v>
      </c>
      <c r="M154" s="15">
        <v>78400</v>
      </c>
      <c r="N154" s="15">
        <v>78500</v>
      </c>
      <c r="O154" s="15">
        <f t="shared" si="8"/>
        <v>235500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f t="shared" si="9"/>
        <v>235500</v>
      </c>
      <c r="V154" s="16">
        <f t="shared" si="10"/>
        <v>0</v>
      </c>
      <c r="W154" s="16"/>
    </row>
    <row r="155" spans="1:23" s="17" customFormat="1" ht="46.5" customHeight="1" x14ac:dyDescent="0.2">
      <c r="A155" s="91"/>
      <c r="B155" s="92"/>
      <c r="C155" s="105" t="s">
        <v>161</v>
      </c>
      <c r="D155" s="199" t="s">
        <v>71</v>
      </c>
      <c r="E155" s="341"/>
      <c r="F155" s="349" t="s">
        <v>13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15">
        <v>46839</v>
      </c>
      <c r="M155" s="15">
        <v>52023</v>
      </c>
      <c r="N155" s="15">
        <v>100985</v>
      </c>
      <c r="O155" s="15">
        <f t="shared" si="8"/>
        <v>199847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f t="shared" si="9"/>
        <v>199847</v>
      </c>
      <c r="V155" s="16">
        <f t="shared" si="10"/>
        <v>0</v>
      </c>
      <c r="W155" s="16"/>
    </row>
    <row r="156" spans="1:23" s="17" customFormat="1" ht="51.75" customHeight="1" x14ac:dyDescent="0.2">
      <c r="A156" s="91"/>
      <c r="B156" s="92"/>
      <c r="C156" s="105" t="s">
        <v>162</v>
      </c>
      <c r="D156" s="349" t="s">
        <v>73</v>
      </c>
      <c r="E156" s="340"/>
      <c r="F156" s="358" t="s">
        <v>13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15">
        <v>487872.01</v>
      </c>
      <c r="M156" s="15">
        <f>565781.7-700</f>
        <v>565081.69999999995</v>
      </c>
      <c r="N156" s="15">
        <v>606173.69999999995</v>
      </c>
      <c r="O156" s="15">
        <f t="shared" si="8"/>
        <v>1659127.41</v>
      </c>
      <c r="P156" s="15">
        <v>715064.5</v>
      </c>
      <c r="Q156" s="15">
        <v>777154.5</v>
      </c>
      <c r="R156" s="15">
        <v>837218.4</v>
      </c>
      <c r="S156" s="15">
        <v>902652.4</v>
      </c>
      <c r="T156" s="15">
        <v>973021.7</v>
      </c>
      <c r="U156" s="15">
        <f t="shared" si="9"/>
        <v>5864238.9100000011</v>
      </c>
      <c r="V156" s="16">
        <f t="shared" si="10"/>
        <v>0</v>
      </c>
      <c r="W156" s="16"/>
    </row>
    <row r="157" spans="1:23" s="17" customFormat="1" ht="47.25" customHeight="1" x14ac:dyDescent="0.2">
      <c r="A157" s="91"/>
      <c r="B157" s="92"/>
      <c r="C157" s="105" t="s">
        <v>163</v>
      </c>
      <c r="D157" s="376">
        <v>2021</v>
      </c>
      <c r="E157" s="24"/>
      <c r="F157" s="349" t="s">
        <v>13</v>
      </c>
      <c r="G157" s="20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241.5</v>
      </c>
      <c r="M157" s="15">
        <v>0</v>
      </c>
      <c r="N157" s="15">
        <v>0</v>
      </c>
      <c r="O157" s="15">
        <f t="shared" si="8"/>
        <v>241.5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f t="shared" si="9"/>
        <v>241.5</v>
      </c>
      <c r="V157" s="16">
        <f t="shared" si="10"/>
        <v>0</v>
      </c>
      <c r="W157" s="16"/>
    </row>
    <row r="158" spans="1:23" s="17" customFormat="1" ht="47.25" customHeight="1" x14ac:dyDescent="0.2">
      <c r="A158" s="91"/>
      <c r="B158" s="92"/>
      <c r="C158" s="105" t="s">
        <v>373</v>
      </c>
      <c r="D158" s="376">
        <v>2021</v>
      </c>
      <c r="E158" s="24"/>
      <c r="F158" s="349" t="s">
        <v>13</v>
      </c>
      <c r="G158" s="20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f>0+400</f>
        <v>400</v>
      </c>
      <c r="M158" s="15">
        <v>0</v>
      </c>
      <c r="N158" s="15">
        <v>0</v>
      </c>
      <c r="O158" s="15">
        <f t="shared" si="8"/>
        <v>400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f t="shared" si="9"/>
        <v>400</v>
      </c>
      <c r="V158" s="16">
        <f t="shared" si="10"/>
        <v>0</v>
      </c>
      <c r="W158" s="16"/>
    </row>
    <row r="159" spans="1:23" s="17" customFormat="1" ht="44.25" customHeight="1" x14ac:dyDescent="0.2">
      <c r="A159" s="91"/>
      <c r="B159" s="92"/>
      <c r="C159" s="105" t="s">
        <v>164</v>
      </c>
      <c r="D159" s="376">
        <v>2021</v>
      </c>
      <c r="E159" s="24"/>
      <c r="F159" s="349" t="s">
        <v>13</v>
      </c>
      <c r="G159" s="20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f>0+300</f>
        <v>300</v>
      </c>
      <c r="M159" s="15">
        <v>0</v>
      </c>
      <c r="N159" s="15">
        <v>0</v>
      </c>
      <c r="O159" s="15">
        <f t="shared" si="8"/>
        <v>300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f t="shared" si="9"/>
        <v>300</v>
      </c>
      <c r="V159" s="16">
        <f t="shared" si="10"/>
        <v>0</v>
      </c>
      <c r="W159" s="16"/>
    </row>
    <row r="160" spans="1:23" s="17" customFormat="1" ht="47.25" customHeight="1" x14ac:dyDescent="0.2">
      <c r="A160" s="91"/>
      <c r="B160" s="92"/>
      <c r="C160" s="105" t="s">
        <v>165</v>
      </c>
      <c r="D160" s="376">
        <v>2021</v>
      </c>
      <c r="E160" s="24"/>
      <c r="F160" s="349" t="s">
        <v>13</v>
      </c>
      <c r="G160" s="20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2397</v>
      </c>
      <c r="M160" s="15">
        <v>0</v>
      </c>
      <c r="N160" s="15">
        <v>0</v>
      </c>
      <c r="O160" s="15">
        <f t="shared" si="8"/>
        <v>2397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f t="shared" si="9"/>
        <v>2397</v>
      </c>
      <c r="V160" s="16">
        <f t="shared" si="10"/>
        <v>0</v>
      </c>
      <c r="W160" s="16"/>
    </row>
    <row r="161" spans="1:23" s="17" customFormat="1" ht="39" customHeight="1" x14ac:dyDescent="0.2">
      <c r="A161" s="91"/>
      <c r="B161" s="92"/>
      <c r="C161" s="105" t="s">
        <v>166</v>
      </c>
      <c r="D161" s="367">
        <v>2022</v>
      </c>
      <c r="E161" s="22"/>
      <c r="F161" s="367" t="s">
        <v>13</v>
      </c>
      <c r="G161" s="20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2500</v>
      </c>
      <c r="N161" s="15">
        <v>0</v>
      </c>
      <c r="O161" s="15">
        <f t="shared" si="8"/>
        <v>2500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f t="shared" si="9"/>
        <v>2500</v>
      </c>
      <c r="V161" s="16">
        <f t="shared" si="10"/>
        <v>0</v>
      </c>
      <c r="W161" s="16"/>
    </row>
    <row r="162" spans="1:23" s="17" customFormat="1" ht="49.5" customHeight="1" x14ac:dyDescent="0.2">
      <c r="A162" s="91"/>
      <c r="B162" s="92"/>
      <c r="C162" s="105" t="s">
        <v>167</v>
      </c>
      <c r="D162" s="358" t="s">
        <v>73</v>
      </c>
      <c r="E162" s="22"/>
      <c r="F162" s="358" t="s">
        <v>13</v>
      </c>
      <c r="G162" s="20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6400</v>
      </c>
      <c r="N162" s="15">
        <v>0</v>
      </c>
      <c r="O162" s="15">
        <f t="shared" si="8"/>
        <v>6400</v>
      </c>
      <c r="P162" s="15">
        <v>0</v>
      </c>
      <c r="Q162" s="15">
        <v>0</v>
      </c>
      <c r="R162" s="15">
        <v>0</v>
      </c>
      <c r="S162" s="15">
        <v>18000</v>
      </c>
      <c r="T162" s="15">
        <v>19000</v>
      </c>
      <c r="U162" s="15">
        <f t="shared" si="9"/>
        <v>43400</v>
      </c>
      <c r="V162" s="16">
        <f t="shared" si="10"/>
        <v>0</v>
      </c>
      <c r="W162" s="16"/>
    </row>
    <row r="163" spans="1:23" s="17" customFormat="1" ht="49.5" customHeight="1" x14ac:dyDescent="0.2">
      <c r="A163" s="336"/>
      <c r="B163" s="335"/>
      <c r="C163" s="105" t="s">
        <v>168</v>
      </c>
      <c r="D163" s="376" t="s">
        <v>71</v>
      </c>
      <c r="E163" s="326"/>
      <c r="F163" s="349" t="s">
        <v>13</v>
      </c>
      <c r="G163" s="20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2600</v>
      </c>
      <c r="N163" s="15">
        <v>0</v>
      </c>
      <c r="O163" s="15">
        <f t="shared" si="8"/>
        <v>2600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f t="shared" si="9"/>
        <v>2600</v>
      </c>
      <c r="V163" s="16">
        <f t="shared" si="10"/>
        <v>0</v>
      </c>
      <c r="W163" s="16"/>
    </row>
    <row r="164" spans="1:23" s="17" customFormat="1" ht="47.25" customHeight="1" x14ac:dyDescent="0.2">
      <c r="A164" s="91"/>
      <c r="B164" s="92"/>
      <c r="C164" s="105" t="s">
        <v>169</v>
      </c>
      <c r="D164" s="376" t="s">
        <v>71</v>
      </c>
      <c r="E164" s="24"/>
      <c r="F164" s="349" t="s">
        <v>13</v>
      </c>
      <c r="G164" s="20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1500</v>
      </c>
      <c r="N164" s="15">
        <v>0</v>
      </c>
      <c r="O164" s="15">
        <f t="shared" si="8"/>
        <v>1500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f t="shared" si="9"/>
        <v>1500</v>
      </c>
      <c r="V164" s="16">
        <f t="shared" si="10"/>
        <v>0</v>
      </c>
      <c r="W164" s="16"/>
    </row>
    <row r="165" spans="1:23" s="17" customFormat="1" ht="48" customHeight="1" x14ac:dyDescent="0.2">
      <c r="A165" s="91"/>
      <c r="B165" s="92"/>
      <c r="C165" s="105" t="s">
        <v>170</v>
      </c>
      <c r="D165" s="376">
        <v>2022</v>
      </c>
      <c r="E165" s="24"/>
      <c r="F165" s="349" t="s">
        <v>13</v>
      </c>
      <c r="G165" s="20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700</v>
      </c>
      <c r="N165" s="15">
        <v>0</v>
      </c>
      <c r="O165" s="15">
        <f t="shared" si="8"/>
        <v>700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f t="shared" si="9"/>
        <v>700</v>
      </c>
      <c r="V165" s="16">
        <f t="shared" si="10"/>
        <v>0</v>
      </c>
      <c r="W165" s="16"/>
    </row>
    <row r="166" spans="1:23" s="17" customFormat="1" ht="42.75" customHeight="1" x14ac:dyDescent="0.2">
      <c r="A166" s="91"/>
      <c r="B166" s="92"/>
      <c r="C166" s="105" t="s">
        <v>171</v>
      </c>
      <c r="D166" s="96">
        <v>2023</v>
      </c>
      <c r="E166" s="97"/>
      <c r="F166" s="98" t="s">
        <v>13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15">
        <v>0</v>
      </c>
      <c r="M166" s="15">
        <v>0</v>
      </c>
      <c r="N166" s="15">
        <v>400</v>
      </c>
      <c r="O166" s="15">
        <f t="shared" si="8"/>
        <v>400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f t="shared" si="9"/>
        <v>400</v>
      </c>
      <c r="V166" s="16">
        <f t="shared" si="10"/>
        <v>0</v>
      </c>
      <c r="W166" s="16"/>
    </row>
    <row r="167" spans="1:23" s="17" customFormat="1" ht="47.25" customHeight="1" x14ac:dyDescent="0.2">
      <c r="A167" s="91"/>
      <c r="B167" s="92"/>
      <c r="C167" s="83" t="s">
        <v>172</v>
      </c>
      <c r="D167" s="96" t="s">
        <v>86</v>
      </c>
      <c r="E167" s="97"/>
      <c r="F167" s="98" t="s">
        <v>13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15">
        <v>0</v>
      </c>
      <c r="M167" s="15">
        <v>0</v>
      </c>
      <c r="N167" s="15">
        <v>9800</v>
      </c>
      <c r="O167" s="15">
        <f t="shared" si="8"/>
        <v>9800</v>
      </c>
      <c r="P167" s="15">
        <v>0</v>
      </c>
      <c r="Q167" s="15">
        <v>0</v>
      </c>
      <c r="R167" s="15">
        <v>0</v>
      </c>
      <c r="S167" s="15">
        <v>0</v>
      </c>
      <c r="T167" s="15">
        <v>13760</v>
      </c>
      <c r="U167" s="15">
        <f t="shared" si="9"/>
        <v>23560</v>
      </c>
      <c r="V167" s="16">
        <f t="shared" si="10"/>
        <v>0</v>
      </c>
      <c r="W167" s="16"/>
    </row>
    <row r="168" spans="1:23" s="17" customFormat="1" ht="45.75" customHeight="1" x14ac:dyDescent="0.2">
      <c r="A168" s="91"/>
      <c r="B168" s="92"/>
      <c r="C168" s="374" t="s">
        <v>173</v>
      </c>
      <c r="D168" s="66" t="s">
        <v>86</v>
      </c>
      <c r="E168" s="97"/>
      <c r="F168" s="98" t="s">
        <v>13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15">
        <v>0</v>
      </c>
      <c r="M168" s="15">
        <v>0</v>
      </c>
      <c r="N168" s="15">
        <v>4100</v>
      </c>
      <c r="O168" s="15">
        <f t="shared" si="8"/>
        <v>4100</v>
      </c>
      <c r="P168" s="15">
        <v>0</v>
      </c>
      <c r="Q168" s="15">
        <v>0</v>
      </c>
      <c r="R168" s="15">
        <v>0</v>
      </c>
      <c r="S168" s="15">
        <v>0</v>
      </c>
      <c r="T168" s="15">
        <v>5757</v>
      </c>
      <c r="U168" s="15">
        <f t="shared" si="9"/>
        <v>9857</v>
      </c>
      <c r="V168" s="16">
        <f t="shared" si="10"/>
        <v>0</v>
      </c>
      <c r="W168" s="16"/>
    </row>
    <row r="169" spans="1:23" s="17" customFormat="1" ht="46.5" customHeight="1" x14ac:dyDescent="0.2">
      <c r="A169" s="91"/>
      <c r="B169" s="92"/>
      <c r="C169" s="105" t="s">
        <v>174</v>
      </c>
      <c r="D169" s="377">
        <v>2023</v>
      </c>
      <c r="E169" s="97"/>
      <c r="F169" s="378" t="s">
        <v>13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15">
        <v>0</v>
      </c>
      <c r="M169" s="15">
        <v>0</v>
      </c>
      <c r="N169" s="15">
        <v>720</v>
      </c>
      <c r="O169" s="15">
        <f t="shared" si="8"/>
        <v>720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f t="shared" si="9"/>
        <v>720</v>
      </c>
      <c r="V169" s="16">
        <f t="shared" si="10"/>
        <v>0</v>
      </c>
      <c r="W169" s="16"/>
    </row>
    <row r="170" spans="1:23" s="17" customFormat="1" ht="45.75" customHeight="1" x14ac:dyDescent="0.2">
      <c r="A170" s="94"/>
      <c r="B170" s="92"/>
      <c r="C170" s="105" t="s">
        <v>175</v>
      </c>
      <c r="D170" s="379" t="s">
        <v>88</v>
      </c>
      <c r="E170" s="101"/>
      <c r="F170" s="380" t="s">
        <v>13</v>
      </c>
      <c r="G170" s="381">
        <v>0</v>
      </c>
      <c r="H170" s="381">
        <v>0</v>
      </c>
      <c r="I170" s="381">
        <v>0</v>
      </c>
      <c r="J170" s="381">
        <v>0</v>
      </c>
      <c r="K170" s="381">
        <v>0</v>
      </c>
      <c r="L170" s="382">
        <v>0</v>
      </c>
      <c r="M170" s="382">
        <v>0</v>
      </c>
      <c r="N170" s="382">
        <v>0</v>
      </c>
      <c r="O170" s="382">
        <f t="shared" si="8"/>
        <v>0</v>
      </c>
      <c r="P170" s="383">
        <v>273</v>
      </c>
      <c r="Q170" s="381">
        <v>0</v>
      </c>
      <c r="R170" s="381">
        <v>0</v>
      </c>
      <c r="S170" s="381">
        <v>0</v>
      </c>
      <c r="T170" s="382">
        <f>700-700</f>
        <v>0</v>
      </c>
      <c r="U170" s="383">
        <f t="shared" si="9"/>
        <v>273</v>
      </c>
      <c r="V170" s="16">
        <f t="shared" si="10"/>
        <v>0</v>
      </c>
      <c r="W170" s="16"/>
    </row>
    <row r="171" spans="1:23" s="17" customFormat="1" ht="45" customHeight="1" x14ac:dyDescent="0.2">
      <c r="A171" s="94"/>
      <c r="B171" s="92"/>
      <c r="C171" s="105" t="s">
        <v>176</v>
      </c>
      <c r="D171" s="379" t="s">
        <v>88</v>
      </c>
      <c r="E171" s="92"/>
      <c r="F171" s="380" t="s">
        <v>13</v>
      </c>
      <c r="G171" s="381">
        <v>0</v>
      </c>
      <c r="H171" s="381">
        <v>0</v>
      </c>
      <c r="I171" s="381">
        <v>0</v>
      </c>
      <c r="J171" s="381">
        <v>0</v>
      </c>
      <c r="K171" s="381">
        <v>0</v>
      </c>
      <c r="L171" s="382">
        <v>0</v>
      </c>
      <c r="M171" s="382">
        <v>0</v>
      </c>
      <c r="N171" s="382">
        <v>0</v>
      </c>
      <c r="O171" s="382">
        <f t="shared" si="8"/>
        <v>0</v>
      </c>
      <c r="P171" s="383">
        <v>3550</v>
      </c>
      <c r="Q171" s="382">
        <v>0</v>
      </c>
      <c r="R171" s="382">
        <v>0</v>
      </c>
      <c r="S171" s="383">
        <v>4250</v>
      </c>
      <c r="T171" s="382">
        <v>0</v>
      </c>
      <c r="U171" s="383">
        <f t="shared" si="9"/>
        <v>7800</v>
      </c>
      <c r="V171" s="16">
        <f t="shared" si="10"/>
        <v>0</v>
      </c>
      <c r="W171" s="16"/>
    </row>
    <row r="172" spans="1:23" s="17" customFormat="1" ht="48" customHeight="1" x14ac:dyDescent="0.2">
      <c r="A172" s="94"/>
      <c r="B172" s="92"/>
      <c r="C172" s="105" t="s">
        <v>177</v>
      </c>
      <c r="D172" s="379" t="s">
        <v>88</v>
      </c>
      <c r="E172" s="92"/>
      <c r="F172" s="380" t="s">
        <v>13</v>
      </c>
      <c r="G172" s="381">
        <v>0</v>
      </c>
      <c r="H172" s="381">
        <v>0</v>
      </c>
      <c r="I172" s="381">
        <v>0</v>
      </c>
      <c r="J172" s="381">
        <v>0</v>
      </c>
      <c r="K172" s="381">
        <v>0</v>
      </c>
      <c r="L172" s="382">
        <v>0</v>
      </c>
      <c r="M172" s="382">
        <v>0</v>
      </c>
      <c r="N172" s="382">
        <v>0</v>
      </c>
      <c r="O172" s="382">
        <f t="shared" si="8"/>
        <v>0</v>
      </c>
      <c r="P172" s="383">
        <v>1150</v>
      </c>
      <c r="Q172" s="381">
        <v>0</v>
      </c>
      <c r="R172" s="381">
        <v>0</v>
      </c>
      <c r="S172" s="381">
        <v>0</v>
      </c>
      <c r="T172" s="382">
        <f>700-700</f>
        <v>0</v>
      </c>
      <c r="U172" s="383">
        <f t="shared" si="9"/>
        <v>1150</v>
      </c>
      <c r="V172" s="16">
        <f t="shared" si="10"/>
        <v>0</v>
      </c>
      <c r="W172" s="16"/>
    </row>
    <row r="173" spans="1:23" s="17" customFormat="1" ht="43.5" customHeight="1" x14ac:dyDescent="0.2">
      <c r="A173" s="94"/>
      <c r="B173" s="92"/>
      <c r="C173" s="105" t="s">
        <v>178</v>
      </c>
      <c r="D173" s="379" t="s">
        <v>88</v>
      </c>
      <c r="E173" s="92"/>
      <c r="F173" s="380" t="s">
        <v>13</v>
      </c>
      <c r="G173" s="381">
        <v>0</v>
      </c>
      <c r="H173" s="381">
        <v>0</v>
      </c>
      <c r="I173" s="381">
        <v>0</v>
      </c>
      <c r="J173" s="381">
        <v>0</v>
      </c>
      <c r="K173" s="381">
        <v>0</v>
      </c>
      <c r="L173" s="382">
        <v>0</v>
      </c>
      <c r="M173" s="382">
        <v>0</v>
      </c>
      <c r="N173" s="382">
        <v>0</v>
      </c>
      <c r="O173" s="382">
        <f t="shared" si="8"/>
        <v>0</v>
      </c>
      <c r="P173" s="383">
        <v>420</v>
      </c>
      <c r="Q173" s="381">
        <v>0</v>
      </c>
      <c r="R173" s="381">
        <v>0</v>
      </c>
      <c r="S173" s="381">
        <v>0</v>
      </c>
      <c r="T173" s="382">
        <f>700-700</f>
        <v>0</v>
      </c>
      <c r="U173" s="383">
        <f t="shared" si="9"/>
        <v>420</v>
      </c>
      <c r="V173" s="16">
        <f t="shared" si="10"/>
        <v>0</v>
      </c>
      <c r="W173" s="16"/>
    </row>
    <row r="174" spans="1:23" s="17" customFormat="1" ht="43.5" customHeight="1" x14ac:dyDescent="0.2">
      <c r="A174" s="94"/>
      <c r="B174" s="92"/>
      <c r="C174" s="105" t="s">
        <v>179</v>
      </c>
      <c r="D174" s="379" t="s">
        <v>88</v>
      </c>
      <c r="E174" s="92"/>
      <c r="F174" s="380" t="s">
        <v>13</v>
      </c>
      <c r="G174" s="381">
        <v>0</v>
      </c>
      <c r="H174" s="381">
        <v>0</v>
      </c>
      <c r="I174" s="381">
        <v>0</v>
      </c>
      <c r="J174" s="381">
        <v>0</v>
      </c>
      <c r="K174" s="381">
        <v>0</v>
      </c>
      <c r="L174" s="382">
        <v>0</v>
      </c>
      <c r="M174" s="382">
        <v>0</v>
      </c>
      <c r="N174" s="382">
        <v>0</v>
      </c>
      <c r="O174" s="382">
        <f t="shared" si="8"/>
        <v>0</v>
      </c>
      <c r="P174" s="383">
        <v>5700</v>
      </c>
      <c r="Q174" s="381">
        <v>0</v>
      </c>
      <c r="R174" s="381">
        <v>0</v>
      </c>
      <c r="S174" s="381">
        <v>0</v>
      </c>
      <c r="T174" s="382">
        <f>700-700</f>
        <v>0</v>
      </c>
      <c r="U174" s="383">
        <f t="shared" si="9"/>
        <v>5700</v>
      </c>
      <c r="V174" s="16">
        <f t="shared" si="10"/>
        <v>0</v>
      </c>
      <c r="W174" s="16"/>
    </row>
    <row r="175" spans="1:23" s="17" customFormat="1" ht="47.25" customHeight="1" x14ac:dyDescent="0.2">
      <c r="A175" s="94"/>
      <c r="B175" s="92"/>
      <c r="C175" s="105" t="s">
        <v>180</v>
      </c>
      <c r="D175" s="379" t="s">
        <v>88</v>
      </c>
      <c r="E175" s="92"/>
      <c r="F175" s="380" t="s">
        <v>13</v>
      </c>
      <c r="G175" s="381">
        <v>0</v>
      </c>
      <c r="H175" s="381">
        <v>0</v>
      </c>
      <c r="I175" s="381">
        <v>0</v>
      </c>
      <c r="J175" s="381">
        <v>0</v>
      </c>
      <c r="K175" s="381">
        <v>0</v>
      </c>
      <c r="L175" s="382">
        <v>0</v>
      </c>
      <c r="M175" s="382">
        <v>0</v>
      </c>
      <c r="N175" s="381">
        <v>0</v>
      </c>
      <c r="O175" s="381">
        <f t="shared" si="8"/>
        <v>0</v>
      </c>
      <c r="P175" s="381">
        <v>0</v>
      </c>
      <c r="Q175" s="381">
        <v>0</v>
      </c>
      <c r="R175" s="382">
        <v>0</v>
      </c>
      <c r="S175" s="382">
        <v>0</v>
      </c>
      <c r="T175" s="383">
        <v>8500</v>
      </c>
      <c r="U175" s="383">
        <f t="shared" si="9"/>
        <v>8500</v>
      </c>
      <c r="V175" s="16">
        <f t="shared" si="10"/>
        <v>0</v>
      </c>
      <c r="W175" s="16"/>
    </row>
    <row r="176" spans="1:23" s="17" customFormat="1" ht="51.75" customHeight="1" x14ac:dyDescent="0.2">
      <c r="A176" s="94"/>
      <c r="B176" s="92"/>
      <c r="C176" s="105" t="s">
        <v>181</v>
      </c>
      <c r="D176" s="379" t="s">
        <v>88</v>
      </c>
      <c r="E176" s="92"/>
      <c r="F176" s="384" t="s">
        <v>13</v>
      </c>
      <c r="G176" s="381">
        <v>0</v>
      </c>
      <c r="H176" s="381">
        <v>0</v>
      </c>
      <c r="I176" s="381">
        <v>0</v>
      </c>
      <c r="J176" s="381">
        <v>0</v>
      </c>
      <c r="K176" s="381">
        <v>0</v>
      </c>
      <c r="L176" s="382">
        <v>0</v>
      </c>
      <c r="M176" s="382">
        <v>0</v>
      </c>
      <c r="N176" s="381">
        <v>0</v>
      </c>
      <c r="O176" s="381">
        <f t="shared" si="8"/>
        <v>0</v>
      </c>
      <c r="P176" s="383">
        <v>12500</v>
      </c>
      <c r="Q176" s="381">
        <v>0</v>
      </c>
      <c r="R176" s="381">
        <v>0</v>
      </c>
      <c r="S176" s="381">
        <v>0</v>
      </c>
      <c r="T176" s="382">
        <f>700-700</f>
        <v>0</v>
      </c>
      <c r="U176" s="383">
        <f t="shared" si="9"/>
        <v>12500</v>
      </c>
      <c r="V176" s="16">
        <f t="shared" si="10"/>
        <v>0</v>
      </c>
      <c r="W176" s="16"/>
    </row>
    <row r="177" spans="1:23" s="17" customFormat="1" ht="41.25" customHeight="1" x14ac:dyDescent="0.2">
      <c r="A177" s="94"/>
      <c r="B177" s="92"/>
      <c r="C177" s="385" t="s">
        <v>182</v>
      </c>
      <c r="D177" s="386" t="s">
        <v>88</v>
      </c>
      <c r="E177" s="92"/>
      <c r="F177" s="380" t="s">
        <v>13</v>
      </c>
      <c r="G177" s="387">
        <v>0</v>
      </c>
      <c r="H177" s="387">
        <v>0</v>
      </c>
      <c r="I177" s="387">
        <v>0</v>
      </c>
      <c r="J177" s="387">
        <v>0</v>
      </c>
      <c r="K177" s="387">
        <v>0</v>
      </c>
      <c r="L177" s="388">
        <v>0</v>
      </c>
      <c r="M177" s="388">
        <v>0</v>
      </c>
      <c r="N177" s="387">
        <v>0</v>
      </c>
      <c r="O177" s="387">
        <f t="shared" si="8"/>
        <v>0</v>
      </c>
      <c r="P177" s="389">
        <v>5400</v>
      </c>
      <c r="Q177" s="387">
        <v>0</v>
      </c>
      <c r="R177" s="387">
        <v>0</v>
      </c>
      <c r="S177" s="387">
        <v>0</v>
      </c>
      <c r="T177" s="388">
        <f>700-700</f>
        <v>0</v>
      </c>
      <c r="U177" s="389">
        <f t="shared" si="9"/>
        <v>5400</v>
      </c>
      <c r="V177" s="16">
        <f t="shared" si="10"/>
        <v>0</v>
      </c>
      <c r="W177" s="16"/>
    </row>
    <row r="178" spans="1:23" s="17" customFormat="1" ht="46.5" customHeight="1" x14ac:dyDescent="0.2">
      <c r="A178" s="94"/>
      <c r="B178" s="92"/>
      <c r="C178" s="385" t="s">
        <v>183</v>
      </c>
      <c r="D178" s="386" t="s">
        <v>88</v>
      </c>
      <c r="E178" s="92"/>
      <c r="F178" s="380" t="s">
        <v>13</v>
      </c>
      <c r="G178" s="387">
        <v>0</v>
      </c>
      <c r="H178" s="387">
        <v>0</v>
      </c>
      <c r="I178" s="387">
        <v>0</v>
      </c>
      <c r="J178" s="387">
        <v>0</v>
      </c>
      <c r="K178" s="387">
        <v>0</v>
      </c>
      <c r="L178" s="388">
        <v>0</v>
      </c>
      <c r="M178" s="388">
        <v>0</v>
      </c>
      <c r="N178" s="387">
        <v>0</v>
      </c>
      <c r="O178" s="387">
        <f t="shared" si="8"/>
        <v>0</v>
      </c>
      <c r="P178" s="389">
        <v>2800</v>
      </c>
      <c r="Q178" s="387">
        <v>0</v>
      </c>
      <c r="R178" s="387">
        <v>0</v>
      </c>
      <c r="S178" s="387">
        <v>0</v>
      </c>
      <c r="T178" s="388">
        <f>700-700</f>
        <v>0</v>
      </c>
      <c r="U178" s="389">
        <f t="shared" si="9"/>
        <v>2800</v>
      </c>
      <c r="V178" s="16">
        <f t="shared" si="10"/>
        <v>0</v>
      </c>
      <c r="W178" s="16"/>
    </row>
    <row r="179" spans="1:23" s="17" customFormat="1" ht="45.75" customHeight="1" x14ac:dyDescent="0.2">
      <c r="A179" s="94"/>
      <c r="B179" s="92"/>
      <c r="C179" s="385" t="s">
        <v>184</v>
      </c>
      <c r="D179" s="386" t="s">
        <v>88</v>
      </c>
      <c r="E179" s="92"/>
      <c r="F179" s="380" t="s">
        <v>13</v>
      </c>
      <c r="G179" s="387">
        <v>0</v>
      </c>
      <c r="H179" s="387">
        <v>0</v>
      </c>
      <c r="I179" s="387">
        <v>0</v>
      </c>
      <c r="J179" s="387">
        <v>0</v>
      </c>
      <c r="K179" s="387">
        <v>0</v>
      </c>
      <c r="L179" s="388">
        <v>0</v>
      </c>
      <c r="M179" s="388">
        <v>0</v>
      </c>
      <c r="N179" s="387">
        <v>0</v>
      </c>
      <c r="O179" s="387">
        <f t="shared" si="8"/>
        <v>0</v>
      </c>
      <c r="P179" s="389">
        <v>650</v>
      </c>
      <c r="Q179" s="387">
        <v>0</v>
      </c>
      <c r="R179" s="389">
        <v>0</v>
      </c>
      <c r="S179" s="387">
        <v>0</v>
      </c>
      <c r="T179" s="389">
        <v>824</v>
      </c>
      <c r="U179" s="389">
        <f t="shared" si="9"/>
        <v>1474</v>
      </c>
      <c r="V179" s="16">
        <f t="shared" si="10"/>
        <v>0</v>
      </c>
      <c r="W179" s="16"/>
    </row>
    <row r="180" spans="1:23" s="17" customFormat="1" ht="42" customHeight="1" x14ac:dyDescent="0.2">
      <c r="A180" s="94"/>
      <c r="B180" s="92"/>
      <c r="C180" s="385" t="s">
        <v>185</v>
      </c>
      <c r="D180" s="386" t="s">
        <v>88</v>
      </c>
      <c r="E180" s="92"/>
      <c r="F180" s="380" t="s">
        <v>13</v>
      </c>
      <c r="G180" s="387">
        <v>0</v>
      </c>
      <c r="H180" s="387">
        <v>0</v>
      </c>
      <c r="I180" s="387">
        <v>0</v>
      </c>
      <c r="J180" s="387">
        <v>0</v>
      </c>
      <c r="K180" s="387">
        <v>0</v>
      </c>
      <c r="L180" s="388">
        <v>0</v>
      </c>
      <c r="M180" s="388">
        <v>0</v>
      </c>
      <c r="N180" s="387">
        <v>0</v>
      </c>
      <c r="O180" s="387">
        <f t="shared" si="8"/>
        <v>0</v>
      </c>
      <c r="P180" s="387">
        <v>0</v>
      </c>
      <c r="Q180" s="387">
        <v>0</v>
      </c>
      <c r="R180" s="388">
        <v>0</v>
      </c>
      <c r="S180" s="389">
        <v>667</v>
      </c>
      <c r="T180" s="387">
        <v>0</v>
      </c>
      <c r="U180" s="389">
        <f t="shared" si="9"/>
        <v>667</v>
      </c>
      <c r="V180" s="16">
        <f t="shared" si="10"/>
        <v>0</v>
      </c>
      <c r="W180" s="16"/>
    </row>
    <row r="181" spans="1:23" s="17" customFormat="1" ht="45.75" customHeight="1" x14ac:dyDescent="0.2">
      <c r="A181" s="94"/>
      <c r="B181" s="92"/>
      <c r="C181" s="385" t="s">
        <v>186</v>
      </c>
      <c r="D181" s="386" t="s">
        <v>88</v>
      </c>
      <c r="E181" s="92"/>
      <c r="F181" s="380" t="s">
        <v>13</v>
      </c>
      <c r="G181" s="387">
        <v>0</v>
      </c>
      <c r="H181" s="387">
        <v>0</v>
      </c>
      <c r="I181" s="387">
        <v>0</v>
      </c>
      <c r="J181" s="387">
        <v>0</v>
      </c>
      <c r="K181" s="387">
        <v>0</v>
      </c>
      <c r="L181" s="388">
        <v>0</v>
      </c>
      <c r="M181" s="388">
        <v>0</v>
      </c>
      <c r="N181" s="387">
        <v>0</v>
      </c>
      <c r="O181" s="387">
        <f t="shared" si="8"/>
        <v>0</v>
      </c>
      <c r="P181" s="387">
        <v>0</v>
      </c>
      <c r="Q181" s="387">
        <v>0</v>
      </c>
      <c r="R181" s="388">
        <v>0</v>
      </c>
      <c r="S181" s="389">
        <v>120</v>
      </c>
      <c r="T181" s="387">
        <v>0</v>
      </c>
      <c r="U181" s="389">
        <f t="shared" si="9"/>
        <v>120</v>
      </c>
      <c r="V181" s="16">
        <f t="shared" si="10"/>
        <v>0</v>
      </c>
      <c r="W181" s="16"/>
    </row>
    <row r="182" spans="1:23" s="17" customFormat="1" ht="42.75" customHeight="1" x14ac:dyDescent="0.2">
      <c r="A182" s="334"/>
      <c r="B182" s="335"/>
      <c r="C182" s="83" t="s">
        <v>187</v>
      </c>
      <c r="D182" s="386" t="s">
        <v>88</v>
      </c>
      <c r="E182" s="335"/>
      <c r="F182" s="390" t="s">
        <v>13</v>
      </c>
      <c r="G182" s="387">
        <v>0</v>
      </c>
      <c r="H182" s="387">
        <v>0</v>
      </c>
      <c r="I182" s="387">
        <v>0</v>
      </c>
      <c r="J182" s="387">
        <v>0</v>
      </c>
      <c r="K182" s="387">
        <v>0</v>
      </c>
      <c r="L182" s="388">
        <v>0</v>
      </c>
      <c r="M182" s="388">
        <v>0</v>
      </c>
      <c r="N182" s="387">
        <v>0</v>
      </c>
      <c r="O182" s="387">
        <f t="shared" si="8"/>
        <v>0</v>
      </c>
      <c r="P182" s="387">
        <v>0</v>
      </c>
      <c r="Q182" s="388">
        <v>0</v>
      </c>
      <c r="R182" s="389">
        <v>160</v>
      </c>
      <c r="S182" s="387">
        <v>0</v>
      </c>
      <c r="T182" s="389">
        <v>179</v>
      </c>
      <c r="U182" s="389">
        <f t="shared" si="9"/>
        <v>339</v>
      </c>
      <c r="V182" s="16">
        <f t="shared" si="10"/>
        <v>0</v>
      </c>
      <c r="W182" s="16"/>
    </row>
    <row r="183" spans="1:23" s="17" customFormat="1" ht="44.25" customHeight="1" x14ac:dyDescent="0.2">
      <c r="A183" s="94"/>
      <c r="B183" s="92"/>
      <c r="C183" s="374" t="s">
        <v>188</v>
      </c>
      <c r="D183" s="391" t="s">
        <v>88</v>
      </c>
      <c r="E183" s="92"/>
      <c r="F183" s="380" t="s">
        <v>13</v>
      </c>
      <c r="G183" s="387">
        <v>0</v>
      </c>
      <c r="H183" s="387">
        <v>0</v>
      </c>
      <c r="I183" s="387">
        <v>0</v>
      </c>
      <c r="J183" s="387">
        <v>0</v>
      </c>
      <c r="K183" s="387">
        <v>0</v>
      </c>
      <c r="L183" s="388">
        <v>0</v>
      </c>
      <c r="M183" s="388">
        <v>0</v>
      </c>
      <c r="N183" s="387">
        <v>0</v>
      </c>
      <c r="O183" s="387">
        <f t="shared" si="8"/>
        <v>0</v>
      </c>
      <c r="P183" s="387">
        <v>0</v>
      </c>
      <c r="Q183" s="388">
        <v>0</v>
      </c>
      <c r="R183" s="389">
        <v>120</v>
      </c>
      <c r="S183" s="387">
        <v>0</v>
      </c>
      <c r="T183" s="388">
        <v>0</v>
      </c>
      <c r="U183" s="389">
        <f t="shared" si="9"/>
        <v>120</v>
      </c>
      <c r="V183" s="16">
        <f t="shared" si="10"/>
        <v>0</v>
      </c>
      <c r="W183" s="16"/>
    </row>
    <row r="184" spans="1:23" s="17" customFormat="1" ht="45" customHeight="1" x14ac:dyDescent="0.2">
      <c r="A184" s="94"/>
      <c r="B184" s="92"/>
      <c r="C184" s="385" t="s">
        <v>189</v>
      </c>
      <c r="D184" s="386" t="s">
        <v>88</v>
      </c>
      <c r="E184" s="92"/>
      <c r="F184" s="380" t="s">
        <v>13</v>
      </c>
      <c r="G184" s="387">
        <v>0</v>
      </c>
      <c r="H184" s="387">
        <v>0</v>
      </c>
      <c r="I184" s="387">
        <v>0</v>
      </c>
      <c r="J184" s="387">
        <v>0</v>
      </c>
      <c r="K184" s="387">
        <v>0</v>
      </c>
      <c r="L184" s="388">
        <v>0</v>
      </c>
      <c r="M184" s="388">
        <v>0</v>
      </c>
      <c r="N184" s="387">
        <v>0</v>
      </c>
      <c r="O184" s="387">
        <f t="shared" si="8"/>
        <v>0</v>
      </c>
      <c r="P184" s="387">
        <v>0</v>
      </c>
      <c r="Q184" s="387">
        <v>0</v>
      </c>
      <c r="R184" s="388">
        <v>0</v>
      </c>
      <c r="S184" s="389">
        <v>154</v>
      </c>
      <c r="T184" s="387">
        <v>0</v>
      </c>
      <c r="U184" s="389">
        <f t="shared" si="9"/>
        <v>154</v>
      </c>
      <c r="V184" s="16">
        <f t="shared" si="10"/>
        <v>0</v>
      </c>
      <c r="W184" s="16"/>
    </row>
    <row r="185" spans="1:23" s="17" customFormat="1" ht="42.75" customHeight="1" x14ac:dyDescent="0.2">
      <c r="A185" s="94"/>
      <c r="B185" s="92"/>
      <c r="C185" s="385" t="s">
        <v>190</v>
      </c>
      <c r="D185" s="386" t="s">
        <v>88</v>
      </c>
      <c r="E185" s="92"/>
      <c r="F185" s="380" t="s">
        <v>13</v>
      </c>
      <c r="G185" s="387">
        <v>0</v>
      </c>
      <c r="H185" s="387">
        <v>0</v>
      </c>
      <c r="I185" s="387">
        <v>0</v>
      </c>
      <c r="J185" s="387">
        <v>0</v>
      </c>
      <c r="K185" s="387">
        <v>0</v>
      </c>
      <c r="L185" s="388">
        <v>0</v>
      </c>
      <c r="M185" s="388">
        <v>0</v>
      </c>
      <c r="N185" s="387">
        <v>0</v>
      </c>
      <c r="O185" s="387">
        <f t="shared" si="8"/>
        <v>0</v>
      </c>
      <c r="P185" s="387">
        <v>0</v>
      </c>
      <c r="Q185" s="387">
        <v>0</v>
      </c>
      <c r="R185" s="388">
        <v>0</v>
      </c>
      <c r="S185" s="389">
        <v>1343</v>
      </c>
      <c r="T185" s="387">
        <v>0</v>
      </c>
      <c r="U185" s="389">
        <f t="shared" si="9"/>
        <v>1343</v>
      </c>
      <c r="V185" s="16">
        <f t="shared" si="10"/>
        <v>0</v>
      </c>
      <c r="W185" s="16"/>
    </row>
    <row r="186" spans="1:23" s="17" customFormat="1" ht="45.75" customHeight="1" x14ac:dyDescent="0.2">
      <c r="A186" s="94"/>
      <c r="B186" s="92"/>
      <c r="C186" s="385" t="s">
        <v>191</v>
      </c>
      <c r="D186" s="386" t="s">
        <v>88</v>
      </c>
      <c r="E186" s="92"/>
      <c r="F186" s="380" t="s">
        <v>13</v>
      </c>
      <c r="G186" s="387">
        <v>0</v>
      </c>
      <c r="H186" s="387">
        <v>0</v>
      </c>
      <c r="I186" s="387">
        <v>0</v>
      </c>
      <c r="J186" s="387">
        <v>0</v>
      </c>
      <c r="K186" s="387">
        <v>0</v>
      </c>
      <c r="L186" s="388">
        <v>0</v>
      </c>
      <c r="M186" s="388">
        <v>0</v>
      </c>
      <c r="N186" s="387">
        <v>0</v>
      </c>
      <c r="O186" s="387">
        <f t="shared" si="8"/>
        <v>0</v>
      </c>
      <c r="P186" s="387">
        <v>0</v>
      </c>
      <c r="Q186" s="387">
        <v>0</v>
      </c>
      <c r="R186" s="388">
        <v>0</v>
      </c>
      <c r="S186" s="389">
        <v>150</v>
      </c>
      <c r="T186" s="387">
        <v>0</v>
      </c>
      <c r="U186" s="389">
        <f t="shared" si="9"/>
        <v>150</v>
      </c>
      <c r="V186" s="16">
        <f t="shared" si="10"/>
        <v>0</v>
      </c>
      <c r="W186" s="16"/>
    </row>
    <row r="187" spans="1:23" s="17" customFormat="1" ht="43.5" customHeight="1" x14ac:dyDescent="0.2">
      <c r="A187" s="94"/>
      <c r="B187" s="92"/>
      <c r="C187" s="385" t="s">
        <v>192</v>
      </c>
      <c r="D187" s="386" t="s">
        <v>88</v>
      </c>
      <c r="E187" s="92"/>
      <c r="F187" s="392" t="s">
        <v>13</v>
      </c>
      <c r="G187" s="387">
        <v>0</v>
      </c>
      <c r="H187" s="387">
        <v>0</v>
      </c>
      <c r="I187" s="387">
        <v>0</v>
      </c>
      <c r="J187" s="387">
        <v>0</v>
      </c>
      <c r="K187" s="387">
        <v>0</v>
      </c>
      <c r="L187" s="388">
        <v>0</v>
      </c>
      <c r="M187" s="388">
        <v>0</v>
      </c>
      <c r="N187" s="387">
        <v>0</v>
      </c>
      <c r="O187" s="387">
        <f t="shared" si="8"/>
        <v>0</v>
      </c>
      <c r="P187" s="387">
        <v>0</v>
      </c>
      <c r="Q187" s="387">
        <v>0</v>
      </c>
      <c r="R187" s="388">
        <v>0</v>
      </c>
      <c r="S187" s="387">
        <v>0</v>
      </c>
      <c r="T187" s="389">
        <v>190</v>
      </c>
      <c r="U187" s="389">
        <f t="shared" si="9"/>
        <v>190</v>
      </c>
      <c r="V187" s="16">
        <f t="shared" si="10"/>
        <v>0</v>
      </c>
      <c r="W187" s="16"/>
    </row>
    <row r="188" spans="1:23" s="17" customFormat="1" ht="44.25" customHeight="1" x14ac:dyDescent="0.2">
      <c r="A188" s="94"/>
      <c r="B188" s="92"/>
      <c r="C188" s="393" t="s">
        <v>193</v>
      </c>
      <c r="D188" s="394" t="s">
        <v>88</v>
      </c>
      <c r="E188" s="92"/>
      <c r="F188" s="380" t="s">
        <v>13</v>
      </c>
      <c r="G188" s="395">
        <v>0</v>
      </c>
      <c r="H188" s="395">
        <v>0</v>
      </c>
      <c r="I188" s="395">
        <v>0</v>
      </c>
      <c r="J188" s="395">
        <v>0</v>
      </c>
      <c r="K188" s="395">
        <v>0</v>
      </c>
      <c r="L188" s="396">
        <v>0</v>
      </c>
      <c r="M188" s="396">
        <v>0</v>
      </c>
      <c r="N188" s="395">
        <v>0</v>
      </c>
      <c r="O188" s="395">
        <f t="shared" si="8"/>
        <v>0</v>
      </c>
      <c r="P188" s="395">
        <v>0</v>
      </c>
      <c r="Q188" s="395">
        <v>0</v>
      </c>
      <c r="R188" s="396">
        <v>0</v>
      </c>
      <c r="S188" s="397">
        <v>134</v>
      </c>
      <c r="T188" s="395">
        <v>0</v>
      </c>
      <c r="U188" s="397">
        <f t="shared" si="9"/>
        <v>134</v>
      </c>
      <c r="V188" s="16">
        <f t="shared" si="10"/>
        <v>0</v>
      </c>
      <c r="W188" s="16"/>
    </row>
    <row r="189" spans="1:23" s="17" customFormat="1" ht="41.25" customHeight="1" x14ac:dyDescent="0.2">
      <c r="A189" s="94"/>
      <c r="B189" s="92"/>
      <c r="C189" s="393" t="s">
        <v>194</v>
      </c>
      <c r="D189" s="394" t="s">
        <v>88</v>
      </c>
      <c r="E189" s="92"/>
      <c r="F189" s="380" t="s">
        <v>13</v>
      </c>
      <c r="G189" s="395">
        <v>0</v>
      </c>
      <c r="H189" s="395">
        <v>0</v>
      </c>
      <c r="I189" s="395">
        <v>0</v>
      </c>
      <c r="J189" s="395">
        <v>0</v>
      </c>
      <c r="K189" s="395">
        <v>0</v>
      </c>
      <c r="L189" s="396">
        <v>0</v>
      </c>
      <c r="M189" s="396">
        <v>0</v>
      </c>
      <c r="N189" s="395">
        <v>0</v>
      </c>
      <c r="O189" s="395">
        <f t="shared" si="8"/>
        <v>0</v>
      </c>
      <c r="P189" s="395">
        <v>0</v>
      </c>
      <c r="Q189" s="395">
        <v>0</v>
      </c>
      <c r="R189" s="396">
        <v>0</v>
      </c>
      <c r="S189" s="397">
        <v>196</v>
      </c>
      <c r="T189" s="395">
        <v>0</v>
      </c>
      <c r="U189" s="397">
        <f t="shared" si="9"/>
        <v>196</v>
      </c>
      <c r="V189" s="16">
        <f t="shared" si="10"/>
        <v>0</v>
      </c>
      <c r="W189" s="16"/>
    </row>
    <row r="190" spans="1:23" s="17" customFormat="1" ht="49.5" customHeight="1" x14ac:dyDescent="0.2">
      <c r="A190" s="94"/>
      <c r="B190" s="92"/>
      <c r="C190" s="393" t="s">
        <v>195</v>
      </c>
      <c r="D190" s="394" t="s">
        <v>88</v>
      </c>
      <c r="E190" s="92"/>
      <c r="F190" s="380" t="s">
        <v>13</v>
      </c>
      <c r="G190" s="395">
        <v>0</v>
      </c>
      <c r="H190" s="395">
        <v>0</v>
      </c>
      <c r="I190" s="395">
        <v>0</v>
      </c>
      <c r="J190" s="395">
        <v>0</v>
      </c>
      <c r="K190" s="395">
        <v>0</v>
      </c>
      <c r="L190" s="396">
        <v>0</v>
      </c>
      <c r="M190" s="396">
        <v>0</v>
      </c>
      <c r="N190" s="395">
        <v>0</v>
      </c>
      <c r="O190" s="395">
        <f t="shared" si="8"/>
        <v>0</v>
      </c>
      <c r="P190" s="395">
        <v>0</v>
      </c>
      <c r="Q190" s="395">
        <v>0</v>
      </c>
      <c r="R190" s="396">
        <v>0</v>
      </c>
      <c r="S190" s="397">
        <v>5600</v>
      </c>
      <c r="T190" s="395">
        <v>0</v>
      </c>
      <c r="U190" s="397">
        <f t="shared" si="9"/>
        <v>5600</v>
      </c>
      <c r="V190" s="16">
        <f t="shared" si="10"/>
        <v>0</v>
      </c>
      <c r="W190" s="16"/>
    </row>
    <row r="191" spans="1:23" s="17" customFormat="1" ht="46.5" customHeight="1" x14ac:dyDescent="0.2">
      <c r="A191" s="94"/>
      <c r="B191" s="92"/>
      <c r="C191" s="393" t="s">
        <v>196</v>
      </c>
      <c r="D191" s="394" t="s">
        <v>88</v>
      </c>
      <c r="E191" s="92"/>
      <c r="F191" s="380" t="s">
        <v>13</v>
      </c>
      <c r="G191" s="395">
        <v>0</v>
      </c>
      <c r="H191" s="395">
        <v>0</v>
      </c>
      <c r="I191" s="395">
        <v>0</v>
      </c>
      <c r="J191" s="395">
        <v>0</v>
      </c>
      <c r="K191" s="395">
        <v>0</v>
      </c>
      <c r="L191" s="396">
        <v>0</v>
      </c>
      <c r="M191" s="396">
        <v>0</v>
      </c>
      <c r="N191" s="395">
        <v>0</v>
      </c>
      <c r="O191" s="395">
        <f t="shared" si="8"/>
        <v>0</v>
      </c>
      <c r="P191" s="395">
        <v>0</v>
      </c>
      <c r="Q191" s="395">
        <v>0</v>
      </c>
      <c r="R191" s="396">
        <v>0</v>
      </c>
      <c r="S191" s="397">
        <v>3358</v>
      </c>
      <c r="T191" s="395">
        <v>0</v>
      </c>
      <c r="U191" s="397">
        <f t="shared" si="9"/>
        <v>3358</v>
      </c>
      <c r="V191" s="16">
        <f t="shared" si="10"/>
        <v>0</v>
      </c>
      <c r="W191" s="16"/>
    </row>
    <row r="192" spans="1:23" s="17" customFormat="1" ht="44.25" customHeight="1" x14ac:dyDescent="0.2">
      <c r="A192" s="94"/>
      <c r="B192" s="92"/>
      <c r="C192" s="393" t="s">
        <v>197</v>
      </c>
      <c r="D192" s="394" t="s">
        <v>88</v>
      </c>
      <c r="E192" s="92"/>
      <c r="F192" s="380" t="s">
        <v>13</v>
      </c>
      <c r="G192" s="395">
        <v>0</v>
      </c>
      <c r="H192" s="395">
        <v>0</v>
      </c>
      <c r="I192" s="395">
        <v>0</v>
      </c>
      <c r="J192" s="395">
        <v>0</v>
      </c>
      <c r="K192" s="395">
        <v>0</v>
      </c>
      <c r="L192" s="396">
        <v>0</v>
      </c>
      <c r="M192" s="396">
        <v>0</v>
      </c>
      <c r="N192" s="395">
        <v>0</v>
      </c>
      <c r="O192" s="395">
        <f t="shared" si="8"/>
        <v>0</v>
      </c>
      <c r="P192" s="395">
        <v>0</v>
      </c>
      <c r="Q192" s="395">
        <v>0</v>
      </c>
      <c r="R192" s="396">
        <v>0</v>
      </c>
      <c r="S192" s="396">
        <v>0</v>
      </c>
      <c r="T192" s="397">
        <v>300</v>
      </c>
      <c r="U192" s="397">
        <f t="shared" si="9"/>
        <v>300</v>
      </c>
      <c r="V192" s="16">
        <f t="shared" si="10"/>
        <v>0</v>
      </c>
      <c r="W192" s="16"/>
    </row>
    <row r="193" spans="1:23" s="17" customFormat="1" ht="71.25" customHeight="1" x14ac:dyDescent="0.2">
      <c r="A193" s="94"/>
      <c r="B193" s="92"/>
      <c r="C193" s="393" t="s">
        <v>374</v>
      </c>
      <c r="D193" s="394" t="s">
        <v>88</v>
      </c>
      <c r="E193" s="92"/>
      <c r="F193" s="380" t="s">
        <v>13</v>
      </c>
      <c r="G193" s="395">
        <v>0</v>
      </c>
      <c r="H193" s="395">
        <v>0</v>
      </c>
      <c r="I193" s="395">
        <v>0</v>
      </c>
      <c r="J193" s="395">
        <v>0</v>
      </c>
      <c r="K193" s="395">
        <v>0</v>
      </c>
      <c r="L193" s="396">
        <v>0</v>
      </c>
      <c r="M193" s="396">
        <v>0</v>
      </c>
      <c r="N193" s="395">
        <v>0</v>
      </c>
      <c r="O193" s="395">
        <f t="shared" si="8"/>
        <v>0</v>
      </c>
      <c r="P193" s="397">
        <v>800</v>
      </c>
      <c r="Q193" s="395">
        <v>0</v>
      </c>
      <c r="R193" s="396">
        <v>0</v>
      </c>
      <c r="S193" s="396">
        <v>0</v>
      </c>
      <c r="T193" s="395">
        <v>0</v>
      </c>
      <c r="U193" s="397">
        <f t="shared" si="9"/>
        <v>800</v>
      </c>
      <c r="V193" s="16">
        <f t="shared" si="10"/>
        <v>0</v>
      </c>
      <c r="W193" s="16"/>
    </row>
    <row r="194" spans="1:23" s="17" customFormat="1" ht="63" customHeight="1" x14ac:dyDescent="0.2">
      <c r="A194" s="94"/>
      <c r="B194" s="92"/>
      <c r="C194" s="393" t="s">
        <v>198</v>
      </c>
      <c r="D194" s="394" t="s">
        <v>88</v>
      </c>
      <c r="E194" s="92"/>
      <c r="F194" s="380" t="s">
        <v>13</v>
      </c>
      <c r="G194" s="395">
        <v>0</v>
      </c>
      <c r="H194" s="395">
        <v>0</v>
      </c>
      <c r="I194" s="395">
        <v>0</v>
      </c>
      <c r="J194" s="395">
        <v>0</v>
      </c>
      <c r="K194" s="395">
        <v>0</v>
      </c>
      <c r="L194" s="396">
        <v>0</v>
      </c>
      <c r="M194" s="396">
        <v>0</v>
      </c>
      <c r="N194" s="395">
        <v>0</v>
      </c>
      <c r="O194" s="395">
        <f t="shared" si="8"/>
        <v>0</v>
      </c>
      <c r="P194" s="395">
        <v>0</v>
      </c>
      <c r="Q194" s="397">
        <v>25000</v>
      </c>
      <c r="R194" s="396">
        <v>0</v>
      </c>
      <c r="S194" s="396">
        <v>0</v>
      </c>
      <c r="T194" s="395">
        <v>0</v>
      </c>
      <c r="U194" s="397">
        <f t="shared" si="9"/>
        <v>25000</v>
      </c>
      <c r="V194" s="16">
        <f t="shared" si="10"/>
        <v>0</v>
      </c>
      <c r="W194" s="16"/>
    </row>
    <row r="195" spans="1:23" s="17" customFormat="1" ht="43.5" customHeight="1" x14ac:dyDescent="0.2">
      <c r="A195" s="94"/>
      <c r="B195" s="92"/>
      <c r="C195" s="83" t="s">
        <v>375</v>
      </c>
      <c r="D195" s="394" t="s">
        <v>88</v>
      </c>
      <c r="E195" s="92"/>
      <c r="F195" s="398" t="s">
        <v>13</v>
      </c>
      <c r="G195" s="395">
        <v>0</v>
      </c>
      <c r="H195" s="395">
        <v>0</v>
      </c>
      <c r="I195" s="395">
        <v>0</v>
      </c>
      <c r="J195" s="395">
        <v>0</v>
      </c>
      <c r="K195" s="395">
        <v>0</v>
      </c>
      <c r="L195" s="396">
        <v>0</v>
      </c>
      <c r="M195" s="396">
        <v>0</v>
      </c>
      <c r="N195" s="395">
        <v>0</v>
      </c>
      <c r="O195" s="395">
        <f t="shared" si="8"/>
        <v>0</v>
      </c>
      <c r="P195" s="397">
        <v>2663.3</v>
      </c>
      <c r="Q195" s="395">
        <v>0</v>
      </c>
      <c r="R195" s="396">
        <v>0</v>
      </c>
      <c r="S195" s="396">
        <v>0</v>
      </c>
      <c r="T195" s="395">
        <v>0</v>
      </c>
      <c r="U195" s="397">
        <f t="shared" si="9"/>
        <v>2663.3</v>
      </c>
      <c r="V195" s="16">
        <f t="shared" si="10"/>
        <v>0</v>
      </c>
      <c r="W195" s="16"/>
    </row>
    <row r="196" spans="1:23" s="17" customFormat="1" ht="48" customHeight="1" x14ac:dyDescent="0.2">
      <c r="A196" s="94"/>
      <c r="B196" s="92"/>
      <c r="C196" s="374" t="s">
        <v>376</v>
      </c>
      <c r="D196" s="391" t="s">
        <v>88</v>
      </c>
      <c r="E196" s="92"/>
      <c r="F196" s="380" t="s">
        <v>13</v>
      </c>
      <c r="G196" s="395">
        <v>0</v>
      </c>
      <c r="H196" s="395">
        <v>0</v>
      </c>
      <c r="I196" s="395">
        <v>0</v>
      </c>
      <c r="J196" s="395">
        <v>0</v>
      </c>
      <c r="K196" s="395">
        <v>0</v>
      </c>
      <c r="L196" s="396">
        <v>0</v>
      </c>
      <c r="M196" s="396">
        <v>0</v>
      </c>
      <c r="N196" s="395">
        <v>0</v>
      </c>
      <c r="O196" s="395">
        <f t="shared" si="8"/>
        <v>0</v>
      </c>
      <c r="P196" s="395">
        <v>0</v>
      </c>
      <c r="Q196" s="397">
        <v>250000</v>
      </c>
      <c r="R196" s="396">
        <v>0</v>
      </c>
      <c r="S196" s="396">
        <v>0</v>
      </c>
      <c r="T196" s="395">
        <v>0</v>
      </c>
      <c r="U196" s="397">
        <f t="shared" si="9"/>
        <v>250000</v>
      </c>
      <c r="V196" s="16">
        <f t="shared" si="10"/>
        <v>0</v>
      </c>
      <c r="W196" s="16"/>
    </row>
    <row r="197" spans="1:23" s="17" customFormat="1" ht="43.5" customHeight="1" x14ac:dyDescent="0.2">
      <c r="A197" s="94"/>
      <c r="B197" s="92"/>
      <c r="C197" s="393" t="s">
        <v>199</v>
      </c>
      <c r="D197" s="394" t="s">
        <v>88</v>
      </c>
      <c r="E197" s="92"/>
      <c r="F197" s="380" t="s">
        <v>13</v>
      </c>
      <c r="G197" s="395">
        <v>0</v>
      </c>
      <c r="H197" s="395">
        <v>0</v>
      </c>
      <c r="I197" s="395">
        <v>0</v>
      </c>
      <c r="J197" s="395">
        <v>0</v>
      </c>
      <c r="K197" s="395">
        <v>0</v>
      </c>
      <c r="L197" s="396">
        <v>0</v>
      </c>
      <c r="M197" s="396">
        <v>0</v>
      </c>
      <c r="N197" s="395">
        <v>0</v>
      </c>
      <c r="O197" s="395">
        <f t="shared" si="8"/>
        <v>0</v>
      </c>
      <c r="P197" s="397">
        <v>100</v>
      </c>
      <c r="Q197" s="395">
        <v>0</v>
      </c>
      <c r="R197" s="396">
        <v>0</v>
      </c>
      <c r="S197" s="396">
        <v>0</v>
      </c>
      <c r="T197" s="395">
        <v>0</v>
      </c>
      <c r="U197" s="397">
        <f t="shared" si="9"/>
        <v>100</v>
      </c>
      <c r="V197" s="16">
        <f t="shared" si="10"/>
        <v>0</v>
      </c>
      <c r="W197" s="16"/>
    </row>
    <row r="198" spans="1:23" s="17" customFormat="1" ht="42.75" customHeight="1" x14ac:dyDescent="0.2">
      <c r="A198" s="94"/>
      <c r="B198" s="92"/>
      <c r="C198" s="393" t="s">
        <v>200</v>
      </c>
      <c r="D198" s="394" t="s">
        <v>88</v>
      </c>
      <c r="E198" s="92"/>
      <c r="F198" s="380" t="s">
        <v>13</v>
      </c>
      <c r="G198" s="395">
        <v>0</v>
      </c>
      <c r="H198" s="395">
        <v>0</v>
      </c>
      <c r="I198" s="395">
        <v>0</v>
      </c>
      <c r="J198" s="395">
        <v>0</v>
      </c>
      <c r="K198" s="395">
        <v>0</v>
      </c>
      <c r="L198" s="396">
        <v>0</v>
      </c>
      <c r="M198" s="396">
        <v>0</v>
      </c>
      <c r="N198" s="395">
        <v>0</v>
      </c>
      <c r="O198" s="395">
        <f t="shared" si="8"/>
        <v>0</v>
      </c>
      <c r="P198" s="397">
        <v>1950.5</v>
      </c>
      <c r="Q198" s="395">
        <v>0</v>
      </c>
      <c r="R198" s="396">
        <v>0</v>
      </c>
      <c r="S198" s="396">
        <v>0</v>
      </c>
      <c r="T198" s="395">
        <v>0</v>
      </c>
      <c r="U198" s="397">
        <f t="shared" si="9"/>
        <v>1950.5</v>
      </c>
      <c r="V198" s="16">
        <f t="shared" si="10"/>
        <v>0</v>
      </c>
      <c r="W198" s="16"/>
    </row>
    <row r="199" spans="1:23" s="17" customFormat="1" ht="72" customHeight="1" x14ac:dyDescent="0.2">
      <c r="A199" s="399"/>
      <c r="B199" s="400"/>
      <c r="C199" s="393" t="s">
        <v>377</v>
      </c>
      <c r="D199" s="394" t="s">
        <v>88</v>
      </c>
      <c r="E199" s="400"/>
      <c r="F199" s="401" t="s">
        <v>13</v>
      </c>
      <c r="G199" s="395">
        <v>0</v>
      </c>
      <c r="H199" s="395">
        <v>0</v>
      </c>
      <c r="I199" s="395">
        <v>0</v>
      </c>
      <c r="J199" s="395">
        <v>0</v>
      </c>
      <c r="K199" s="395">
        <v>0</v>
      </c>
      <c r="L199" s="396">
        <v>0</v>
      </c>
      <c r="M199" s="396">
        <v>0</v>
      </c>
      <c r="N199" s="395">
        <v>0</v>
      </c>
      <c r="O199" s="395">
        <f t="shared" si="8"/>
        <v>0</v>
      </c>
      <c r="P199" s="397">
        <v>0</v>
      </c>
      <c r="Q199" s="395">
        <v>120</v>
      </c>
      <c r="R199" s="396">
        <v>0</v>
      </c>
      <c r="S199" s="396">
        <v>0</v>
      </c>
      <c r="T199" s="395">
        <v>0</v>
      </c>
      <c r="U199" s="397">
        <f t="shared" si="9"/>
        <v>120</v>
      </c>
      <c r="V199" s="16">
        <f t="shared" si="10"/>
        <v>0</v>
      </c>
      <c r="W199" s="16"/>
    </row>
    <row r="200" spans="1:23" s="17" customFormat="1" ht="60.75" customHeight="1" x14ac:dyDescent="0.2">
      <c r="A200" s="94"/>
      <c r="B200" s="92"/>
      <c r="C200" s="393" t="s">
        <v>378</v>
      </c>
      <c r="D200" s="394" t="s">
        <v>88</v>
      </c>
      <c r="E200" s="92"/>
      <c r="F200" s="380" t="s">
        <v>13</v>
      </c>
      <c r="G200" s="395">
        <v>0</v>
      </c>
      <c r="H200" s="395">
        <v>0</v>
      </c>
      <c r="I200" s="395">
        <v>0</v>
      </c>
      <c r="J200" s="395">
        <v>0</v>
      </c>
      <c r="K200" s="395">
        <v>0</v>
      </c>
      <c r="L200" s="396">
        <v>0</v>
      </c>
      <c r="M200" s="396">
        <v>0</v>
      </c>
      <c r="N200" s="395">
        <v>0</v>
      </c>
      <c r="O200" s="395">
        <f t="shared" si="8"/>
        <v>0</v>
      </c>
      <c r="P200" s="397">
        <v>0</v>
      </c>
      <c r="Q200" s="395">
        <v>2280</v>
      </c>
      <c r="R200" s="396">
        <v>0</v>
      </c>
      <c r="S200" s="396">
        <v>0</v>
      </c>
      <c r="T200" s="395">
        <v>0</v>
      </c>
      <c r="U200" s="397">
        <f t="shared" si="9"/>
        <v>2280</v>
      </c>
      <c r="V200" s="16">
        <f t="shared" si="10"/>
        <v>0</v>
      </c>
      <c r="W200" s="16"/>
    </row>
    <row r="201" spans="1:23" s="17" customFormat="1" ht="76.5" customHeight="1" x14ac:dyDescent="0.2">
      <c r="A201" s="94"/>
      <c r="B201" s="92"/>
      <c r="C201" s="393" t="s">
        <v>201</v>
      </c>
      <c r="D201" s="394" t="s">
        <v>88</v>
      </c>
      <c r="E201" s="92"/>
      <c r="F201" s="380" t="s">
        <v>13</v>
      </c>
      <c r="G201" s="395">
        <v>0</v>
      </c>
      <c r="H201" s="395">
        <v>0</v>
      </c>
      <c r="I201" s="395">
        <v>0</v>
      </c>
      <c r="J201" s="395">
        <v>0</v>
      </c>
      <c r="K201" s="395">
        <v>0</v>
      </c>
      <c r="L201" s="396">
        <v>0</v>
      </c>
      <c r="M201" s="396">
        <v>0</v>
      </c>
      <c r="N201" s="395">
        <v>0</v>
      </c>
      <c r="O201" s="395">
        <f t="shared" si="8"/>
        <v>0</v>
      </c>
      <c r="P201" s="397">
        <v>0</v>
      </c>
      <c r="Q201" s="395">
        <v>120</v>
      </c>
      <c r="R201" s="396">
        <v>0</v>
      </c>
      <c r="S201" s="396">
        <v>0</v>
      </c>
      <c r="T201" s="395">
        <v>0</v>
      </c>
      <c r="U201" s="397">
        <f t="shared" si="9"/>
        <v>120</v>
      </c>
      <c r="V201" s="16">
        <f t="shared" si="10"/>
        <v>0</v>
      </c>
      <c r="W201" s="16"/>
    </row>
    <row r="202" spans="1:23" s="17" customFormat="1" ht="59.25" customHeight="1" x14ac:dyDescent="0.2">
      <c r="A202" s="94"/>
      <c r="B202" s="92"/>
      <c r="C202" s="393" t="s">
        <v>379</v>
      </c>
      <c r="D202" s="394" t="s">
        <v>88</v>
      </c>
      <c r="E202" s="92"/>
      <c r="F202" s="380" t="s">
        <v>13</v>
      </c>
      <c r="G202" s="395">
        <v>0</v>
      </c>
      <c r="H202" s="395">
        <v>0</v>
      </c>
      <c r="I202" s="395">
        <v>0</v>
      </c>
      <c r="J202" s="395">
        <v>0</v>
      </c>
      <c r="K202" s="395">
        <v>0</v>
      </c>
      <c r="L202" s="396">
        <v>0</v>
      </c>
      <c r="M202" s="396">
        <v>0</v>
      </c>
      <c r="N202" s="395">
        <v>0</v>
      </c>
      <c r="O202" s="395">
        <f t="shared" si="8"/>
        <v>0</v>
      </c>
      <c r="P202" s="397">
        <v>0</v>
      </c>
      <c r="Q202" s="395">
        <v>2380</v>
      </c>
      <c r="R202" s="396">
        <v>0</v>
      </c>
      <c r="S202" s="396">
        <v>0</v>
      </c>
      <c r="T202" s="395">
        <v>0</v>
      </c>
      <c r="U202" s="397">
        <f t="shared" si="9"/>
        <v>2380</v>
      </c>
      <c r="V202" s="16">
        <f t="shared" si="10"/>
        <v>0</v>
      </c>
      <c r="W202" s="16"/>
    </row>
    <row r="203" spans="1:23" s="17" customFormat="1" ht="65.25" customHeight="1" x14ac:dyDescent="0.2">
      <c r="A203" s="94"/>
      <c r="B203" s="92"/>
      <c r="C203" s="393" t="s">
        <v>202</v>
      </c>
      <c r="D203" s="394" t="s">
        <v>88</v>
      </c>
      <c r="E203" s="92"/>
      <c r="F203" s="380" t="s">
        <v>13</v>
      </c>
      <c r="G203" s="395">
        <v>0</v>
      </c>
      <c r="H203" s="395">
        <v>0</v>
      </c>
      <c r="I203" s="395">
        <v>0</v>
      </c>
      <c r="J203" s="395">
        <v>0</v>
      </c>
      <c r="K203" s="395">
        <v>0</v>
      </c>
      <c r="L203" s="396">
        <v>0</v>
      </c>
      <c r="M203" s="396">
        <v>0</v>
      </c>
      <c r="N203" s="395">
        <v>0</v>
      </c>
      <c r="O203" s="395">
        <f t="shared" si="8"/>
        <v>0</v>
      </c>
      <c r="P203" s="396">
        <v>0</v>
      </c>
      <c r="Q203" s="395">
        <v>0</v>
      </c>
      <c r="R203" s="396">
        <v>370</v>
      </c>
      <c r="S203" s="396">
        <v>0</v>
      </c>
      <c r="T203" s="395">
        <v>0</v>
      </c>
      <c r="U203" s="397">
        <f t="shared" si="9"/>
        <v>370</v>
      </c>
      <c r="V203" s="16">
        <f t="shared" si="10"/>
        <v>0</v>
      </c>
      <c r="W203" s="16"/>
    </row>
    <row r="204" spans="1:23" s="17" customFormat="1" ht="64.5" customHeight="1" x14ac:dyDescent="0.2">
      <c r="A204" s="94"/>
      <c r="B204" s="92"/>
      <c r="C204" s="83" t="s">
        <v>203</v>
      </c>
      <c r="D204" s="394" t="s">
        <v>88</v>
      </c>
      <c r="E204" s="92"/>
      <c r="F204" s="380" t="s">
        <v>13</v>
      </c>
      <c r="G204" s="395">
        <v>0</v>
      </c>
      <c r="H204" s="395">
        <v>0</v>
      </c>
      <c r="I204" s="395">
        <v>0</v>
      </c>
      <c r="J204" s="395">
        <v>0</v>
      </c>
      <c r="K204" s="395">
        <v>0</v>
      </c>
      <c r="L204" s="396">
        <v>0</v>
      </c>
      <c r="M204" s="396">
        <v>0</v>
      </c>
      <c r="N204" s="395">
        <v>0</v>
      </c>
      <c r="O204" s="395">
        <f t="shared" si="8"/>
        <v>0</v>
      </c>
      <c r="P204" s="396">
        <v>0</v>
      </c>
      <c r="Q204" s="395">
        <v>0</v>
      </c>
      <c r="R204" s="397">
        <v>10622.3</v>
      </c>
      <c r="S204" s="396">
        <v>0</v>
      </c>
      <c r="T204" s="395">
        <v>0</v>
      </c>
      <c r="U204" s="397">
        <f t="shared" si="9"/>
        <v>10622.3</v>
      </c>
      <c r="V204" s="16">
        <f t="shared" si="10"/>
        <v>0</v>
      </c>
      <c r="W204" s="16"/>
    </row>
    <row r="205" spans="1:23" s="17" customFormat="1" ht="48.75" customHeight="1" x14ac:dyDescent="0.2">
      <c r="A205" s="94"/>
      <c r="B205" s="92"/>
      <c r="C205" s="374" t="s">
        <v>204</v>
      </c>
      <c r="D205" s="391" t="s">
        <v>88</v>
      </c>
      <c r="E205" s="92"/>
      <c r="F205" s="380" t="s">
        <v>13</v>
      </c>
      <c r="G205" s="395">
        <v>0</v>
      </c>
      <c r="H205" s="395">
        <v>0</v>
      </c>
      <c r="I205" s="395">
        <v>0</v>
      </c>
      <c r="J205" s="395">
        <v>0</v>
      </c>
      <c r="K205" s="395">
        <v>0</v>
      </c>
      <c r="L205" s="396">
        <v>0</v>
      </c>
      <c r="M205" s="396">
        <v>0</v>
      </c>
      <c r="N205" s="395">
        <v>0</v>
      </c>
      <c r="O205" s="395">
        <f t="shared" ref="O205:O242" si="11">G205+H205+I205+J205+K205+L205+M205+N205</f>
        <v>0</v>
      </c>
      <c r="P205" s="396">
        <v>0</v>
      </c>
      <c r="Q205" s="395">
        <v>0</v>
      </c>
      <c r="R205" s="396">
        <v>0</v>
      </c>
      <c r="S205" s="396">
        <v>265</v>
      </c>
      <c r="T205" s="395">
        <v>0</v>
      </c>
      <c r="U205" s="397">
        <f t="shared" ref="U205:U241" si="12">SUM(G205:T205)-O205</f>
        <v>265</v>
      </c>
      <c r="V205" s="16">
        <f t="shared" ref="V205:V243" si="13">G205+H205+I205+J205+K205+L205+M205+N205+P205+Q205+R205+S205+T205-U205</f>
        <v>0</v>
      </c>
      <c r="W205" s="16"/>
    </row>
    <row r="206" spans="1:23" s="17" customFormat="1" ht="48.75" customHeight="1" x14ac:dyDescent="0.2">
      <c r="A206" s="94"/>
      <c r="B206" s="92"/>
      <c r="C206" s="393" t="s">
        <v>205</v>
      </c>
      <c r="D206" s="394" t="s">
        <v>88</v>
      </c>
      <c r="E206" s="92"/>
      <c r="F206" s="380" t="s">
        <v>13</v>
      </c>
      <c r="G206" s="395">
        <v>0</v>
      </c>
      <c r="H206" s="395">
        <v>0</v>
      </c>
      <c r="I206" s="395">
        <v>0</v>
      </c>
      <c r="J206" s="395">
        <v>0</v>
      </c>
      <c r="K206" s="395">
        <v>0</v>
      </c>
      <c r="L206" s="396">
        <v>0</v>
      </c>
      <c r="M206" s="396">
        <v>0</v>
      </c>
      <c r="N206" s="395">
        <v>0</v>
      </c>
      <c r="O206" s="395">
        <f t="shared" si="11"/>
        <v>0</v>
      </c>
      <c r="P206" s="396">
        <v>0</v>
      </c>
      <c r="Q206" s="395">
        <v>0</v>
      </c>
      <c r="R206" s="396">
        <v>0</v>
      </c>
      <c r="S206" s="396">
        <v>0</v>
      </c>
      <c r="T206" s="396">
        <v>770</v>
      </c>
      <c r="U206" s="397">
        <f t="shared" si="12"/>
        <v>770</v>
      </c>
      <c r="V206" s="16">
        <f t="shared" si="13"/>
        <v>0</v>
      </c>
      <c r="W206" s="16"/>
    </row>
    <row r="207" spans="1:23" s="17" customFormat="1" ht="48" customHeight="1" x14ac:dyDescent="0.2">
      <c r="A207" s="94"/>
      <c r="B207" s="92"/>
      <c r="C207" s="393" t="s">
        <v>206</v>
      </c>
      <c r="D207" s="394" t="s">
        <v>88</v>
      </c>
      <c r="E207" s="92"/>
      <c r="F207" s="380" t="s">
        <v>13</v>
      </c>
      <c r="G207" s="395">
        <v>0</v>
      </c>
      <c r="H207" s="395">
        <v>0</v>
      </c>
      <c r="I207" s="395">
        <v>0</v>
      </c>
      <c r="J207" s="395">
        <v>0</v>
      </c>
      <c r="K207" s="395">
        <v>0</v>
      </c>
      <c r="L207" s="396">
        <v>0</v>
      </c>
      <c r="M207" s="396">
        <v>0</v>
      </c>
      <c r="N207" s="395">
        <v>0</v>
      </c>
      <c r="O207" s="395">
        <f t="shared" si="11"/>
        <v>0</v>
      </c>
      <c r="P207" s="396">
        <v>0</v>
      </c>
      <c r="Q207" s="395">
        <v>0</v>
      </c>
      <c r="R207" s="395">
        <v>0</v>
      </c>
      <c r="S207" s="397">
        <v>845</v>
      </c>
      <c r="T207" s="395">
        <v>0</v>
      </c>
      <c r="U207" s="397">
        <f t="shared" si="12"/>
        <v>845</v>
      </c>
      <c r="V207" s="16">
        <f t="shared" si="13"/>
        <v>0</v>
      </c>
      <c r="W207" s="16"/>
    </row>
    <row r="208" spans="1:23" s="17" customFormat="1" ht="41.25" customHeight="1" x14ac:dyDescent="0.2">
      <c r="A208" s="94"/>
      <c r="B208" s="92"/>
      <c r="C208" s="393" t="s">
        <v>380</v>
      </c>
      <c r="D208" s="394" t="s">
        <v>88</v>
      </c>
      <c r="E208" s="92"/>
      <c r="F208" s="380" t="s">
        <v>13</v>
      </c>
      <c r="G208" s="395">
        <v>0</v>
      </c>
      <c r="H208" s="395">
        <v>0</v>
      </c>
      <c r="I208" s="395">
        <v>0</v>
      </c>
      <c r="J208" s="395">
        <v>0</v>
      </c>
      <c r="K208" s="395">
        <v>0</v>
      </c>
      <c r="L208" s="396">
        <v>0</v>
      </c>
      <c r="M208" s="396">
        <v>0</v>
      </c>
      <c r="N208" s="395">
        <v>0</v>
      </c>
      <c r="O208" s="395">
        <f t="shared" si="11"/>
        <v>0</v>
      </c>
      <c r="P208" s="396">
        <v>0</v>
      </c>
      <c r="Q208" s="395">
        <v>0</v>
      </c>
      <c r="R208" s="395">
        <v>0</v>
      </c>
      <c r="S208" s="397">
        <v>1340</v>
      </c>
      <c r="T208" s="395">
        <v>0</v>
      </c>
      <c r="U208" s="397">
        <f t="shared" si="12"/>
        <v>1340</v>
      </c>
      <c r="V208" s="16">
        <f t="shared" si="13"/>
        <v>0</v>
      </c>
      <c r="W208" s="16"/>
    </row>
    <row r="209" spans="1:23" s="17" customFormat="1" ht="41.25" customHeight="1" x14ac:dyDescent="0.2">
      <c r="A209" s="94"/>
      <c r="B209" s="92"/>
      <c r="C209" s="393" t="s">
        <v>381</v>
      </c>
      <c r="D209" s="394" t="s">
        <v>88</v>
      </c>
      <c r="E209" s="92"/>
      <c r="F209" s="380" t="s">
        <v>13</v>
      </c>
      <c r="G209" s="395">
        <v>0</v>
      </c>
      <c r="H209" s="395">
        <v>0</v>
      </c>
      <c r="I209" s="395">
        <v>0</v>
      </c>
      <c r="J209" s="395">
        <v>0</v>
      </c>
      <c r="K209" s="395">
        <v>0</v>
      </c>
      <c r="L209" s="396">
        <v>0</v>
      </c>
      <c r="M209" s="396">
        <v>0</v>
      </c>
      <c r="N209" s="395">
        <v>0</v>
      </c>
      <c r="O209" s="395">
        <f t="shared" si="11"/>
        <v>0</v>
      </c>
      <c r="P209" s="396">
        <v>0</v>
      </c>
      <c r="Q209" s="395">
        <v>0</v>
      </c>
      <c r="R209" s="395">
        <v>0</v>
      </c>
      <c r="S209" s="395">
        <v>0</v>
      </c>
      <c r="T209" s="397">
        <v>890</v>
      </c>
      <c r="U209" s="397">
        <f t="shared" si="12"/>
        <v>890</v>
      </c>
      <c r="V209" s="16">
        <f t="shared" si="13"/>
        <v>0</v>
      </c>
      <c r="W209" s="16"/>
    </row>
    <row r="210" spans="1:23" s="17" customFormat="1" ht="46.5" customHeight="1" x14ac:dyDescent="0.2">
      <c r="A210" s="94"/>
      <c r="B210" s="92"/>
      <c r="C210" s="393" t="s">
        <v>382</v>
      </c>
      <c r="D210" s="394" t="s">
        <v>88</v>
      </c>
      <c r="E210" s="92"/>
      <c r="F210" s="380" t="s">
        <v>13</v>
      </c>
      <c r="G210" s="395">
        <v>0</v>
      </c>
      <c r="H210" s="395">
        <v>0</v>
      </c>
      <c r="I210" s="395">
        <v>0</v>
      </c>
      <c r="J210" s="395">
        <v>0</v>
      </c>
      <c r="K210" s="395">
        <v>0</v>
      </c>
      <c r="L210" s="396">
        <v>0</v>
      </c>
      <c r="M210" s="396">
        <v>0</v>
      </c>
      <c r="N210" s="395">
        <v>0</v>
      </c>
      <c r="O210" s="395">
        <f t="shared" si="11"/>
        <v>0</v>
      </c>
      <c r="P210" s="396">
        <v>0</v>
      </c>
      <c r="Q210" s="395">
        <v>0</v>
      </c>
      <c r="R210" s="395">
        <v>0</v>
      </c>
      <c r="S210" s="395">
        <v>0</v>
      </c>
      <c r="T210" s="397">
        <v>2460</v>
      </c>
      <c r="U210" s="397">
        <f t="shared" si="12"/>
        <v>2460</v>
      </c>
      <c r="V210" s="16">
        <f t="shared" si="13"/>
        <v>0</v>
      </c>
      <c r="W210" s="16"/>
    </row>
    <row r="211" spans="1:23" s="17" customFormat="1" ht="57" customHeight="1" x14ac:dyDescent="0.2">
      <c r="A211" s="94"/>
      <c r="B211" s="92"/>
      <c r="C211" s="393" t="s">
        <v>207</v>
      </c>
      <c r="D211" s="394" t="s">
        <v>88</v>
      </c>
      <c r="E211" s="92"/>
      <c r="F211" s="380" t="s">
        <v>13</v>
      </c>
      <c r="G211" s="395">
        <v>0</v>
      </c>
      <c r="H211" s="395">
        <v>0</v>
      </c>
      <c r="I211" s="395">
        <v>0</v>
      </c>
      <c r="J211" s="395">
        <v>0</v>
      </c>
      <c r="K211" s="395">
        <v>0</v>
      </c>
      <c r="L211" s="396">
        <v>0</v>
      </c>
      <c r="M211" s="396">
        <v>0</v>
      </c>
      <c r="N211" s="395">
        <v>0</v>
      </c>
      <c r="O211" s="395">
        <f t="shared" si="11"/>
        <v>0</v>
      </c>
      <c r="P211" s="396">
        <v>0</v>
      </c>
      <c r="Q211" s="395">
        <v>0</v>
      </c>
      <c r="R211" s="397">
        <v>930</v>
      </c>
      <c r="S211" s="396">
        <v>0</v>
      </c>
      <c r="T211" s="395">
        <v>0</v>
      </c>
      <c r="U211" s="397">
        <f t="shared" si="12"/>
        <v>930</v>
      </c>
      <c r="V211" s="16">
        <f t="shared" si="13"/>
        <v>0</v>
      </c>
      <c r="W211" s="16"/>
    </row>
    <row r="212" spans="1:23" s="17" customFormat="1" ht="69.75" customHeight="1" x14ac:dyDescent="0.2">
      <c r="A212" s="94"/>
      <c r="B212" s="92"/>
      <c r="C212" s="393" t="s">
        <v>383</v>
      </c>
      <c r="D212" s="394" t="s">
        <v>88</v>
      </c>
      <c r="E212" s="92"/>
      <c r="F212" s="398" t="s">
        <v>13</v>
      </c>
      <c r="G212" s="395">
        <v>0</v>
      </c>
      <c r="H212" s="395">
        <v>0</v>
      </c>
      <c r="I212" s="395">
        <v>0</v>
      </c>
      <c r="J212" s="395">
        <v>0</v>
      </c>
      <c r="K212" s="395">
        <v>0</v>
      </c>
      <c r="L212" s="396">
        <v>0</v>
      </c>
      <c r="M212" s="396">
        <v>0</v>
      </c>
      <c r="N212" s="395">
        <v>0</v>
      </c>
      <c r="O212" s="395">
        <f t="shared" si="11"/>
        <v>0</v>
      </c>
      <c r="P212" s="396">
        <v>0</v>
      </c>
      <c r="Q212" s="395">
        <v>0</v>
      </c>
      <c r="R212" s="395">
        <v>0</v>
      </c>
      <c r="S212" s="397">
        <v>9500</v>
      </c>
      <c r="T212" s="395">
        <v>0</v>
      </c>
      <c r="U212" s="397">
        <f t="shared" si="12"/>
        <v>9500</v>
      </c>
      <c r="V212" s="16">
        <f t="shared" si="13"/>
        <v>0</v>
      </c>
      <c r="W212" s="16"/>
    </row>
    <row r="213" spans="1:23" s="17" customFormat="1" ht="59.25" customHeight="1" x14ac:dyDescent="0.2">
      <c r="A213" s="94"/>
      <c r="B213" s="92"/>
      <c r="C213" s="393" t="s">
        <v>384</v>
      </c>
      <c r="D213" s="394" t="s">
        <v>88</v>
      </c>
      <c r="E213" s="92"/>
      <c r="F213" s="380" t="s">
        <v>13</v>
      </c>
      <c r="G213" s="395">
        <v>0</v>
      </c>
      <c r="H213" s="395">
        <v>0</v>
      </c>
      <c r="I213" s="395">
        <v>0</v>
      </c>
      <c r="J213" s="395">
        <v>0</v>
      </c>
      <c r="K213" s="395">
        <v>0</v>
      </c>
      <c r="L213" s="396">
        <v>0</v>
      </c>
      <c r="M213" s="396">
        <v>0</v>
      </c>
      <c r="N213" s="395">
        <v>0</v>
      </c>
      <c r="O213" s="395">
        <f t="shared" si="11"/>
        <v>0</v>
      </c>
      <c r="P213" s="396">
        <v>0</v>
      </c>
      <c r="Q213" s="395">
        <v>0</v>
      </c>
      <c r="R213" s="395">
        <v>0</v>
      </c>
      <c r="S213" s="397">
        <v>980</v>
      </c>
      <c r="T213" s="395">
        <v>0</v>
      </c>
      <c r="U213" s="397">
        <f t="shared" si="12"/>
        <v>980</v>
      </c>
      <c r="V213" s="16">
        <f t="shared" si="13"/>
        <v>0</v>
      </c>
      <c r="W213" s="16"/>
    </row>
    <row r="214" spans="1:23" s="17" customFormat="1" ht="57" customHeight="1" x14ac:dyDescent="0.2">
      <c r="A214" s="399"/>
      <c r="B214" s="400"/>
      <c r="C214" s="393" t="s">
        <v>385</v>
      </c>
      <c r="D214" s="394" t="s">
        <v>88</v>
      </c>
      <c r="E214" s="400"/>
      <c r="F214" s="401" t="s">
        <v>13</v>
      </c>
      <c r="G214" s="395">
        <v>0</v>
      </c>
      <c r="H214" s="395">
        <v>0</v>
      </c>
      <c r="I214" s="395">
        <v>0</v>
      </c>
      <c r="J214" s="395">
        <v>0</v>
      </c>
      <c r="K214" s="395">
        <v>0</v>
      </c>
      <c r="L214" s="396">
        <v>0</v>
      </c>
      <c r="M214" s="396">
        <v>0</v>
      </c>
      <c r="N214" s="395">
        <v>0</v>
      </c>
      <c r="O214" s="395">
        <f t="shared" si="11"/>
        <v>0</v>
      </c>
      <c r="P214" s="396">
        <v>0</v>
      </c>
      <c r="Q214" s="395">
        <v>0</v>
      </c>
      <c r="R214" s="396">
        <v>0</v>
      </c>
      <c r="S214" s="395">
        <v>0</v>
      </c>
      <c r="T214" s="397">
        <v>10050</v>
      </c>
      <c r="U214" s="397">
        <f t="shared" si="12"/>
        <v>10050</v>
      </c>
      <c r="V214" s="16">
        <f t="shared" si="13"/>
        <v>0</v>
      </c>
      <c r="W214" s="16"/>
    </row>
    <row r="215" spans="1:23" s="17" customFormat="1" ht="49.5" customHeight="1" x14ac:dyDescent="0.2">
      <c r="A215" s="94"/>
      <c r="B215" s="92"/>
      <c r="C215" s="393" t="s">
        <v>208</v>
      </c>
      <c r="D215" s="394" t="s">
        <v>88</v>
      </c>
      <c r="E215" s="92"/>
      <c r="F215" s="380" t="s">
        <v>13</v>
      </c>
      <c r="G215" s="395">
        <v>0</v>
      </c>
      <c r="H215" s="395">
        <v>0</v>
      </c>
      <c r="I215" s="395">
        <v>0</v>
      </c>
      <c r="J215" s="395">
        <v>0</v>
      </c>
      <c r="K215" s="395">
        <v>0</v>
      </c>
      <c r="L215" s="396">
        <v>0</v>
      </c>
      <c r="M215" s="396">
        <v>0</v>
      </c>
      <c r="N215" s="395">
        <v>0</v>
      </c>
      <c r="O215" s="395">
        <f t="shared" si="11"/>
        <v>0</v>
      </c>
      <c r="P215" s="397">
        <v>619</v>
      </c>
      <c r="Q215" s="395">
        <v>0</v>
      </c>
      <c r="R215" s="395">
        <v>0</v>
      </c>
      <c r="S215" s="396">
        <v>0</v>
      </c>
      <c r="T215" s="396">
        <v>0</v>
      </c>
      <c r="U215" s="397">
        <f t="shared" si="12"/>
        <v>619</v>
      </c>
      <c r="V215" s="16">
        <f t="shared" si="13"/>
        <v>0</v>
      </c>
      <c r="W215" s="16"/>
    </row>
    <row r="216" spans="1:23" ht="36.75" customHeight="1" x14ac:dyDescent="0.2">
      <c r="A216" s="631" t="s">
        <v>91</v>
      </c>
      <c r="B216" s="632"/>
      <c r="C216" s="633"/>
      <c r="D216" s="634"/>
      <c r="E216" s="635"/>
      <c r="F216" s="402" t="s">
        <v>124</v>
      </c>
      <c r="G216" s="403">
        <f>SUM(G80:G169)</f>
        <v>138423.32</v>
      </c>
      <c r="H216" s="403">
        <f>SUM(H80:H169)</f>
        <v>204758.1</v>
      </c>
      <c r="I216" s="403">
        <f>SUM(I80:I169)</f>
        <v>220709</v>
      </c>
      <c r="J216" s="403">
        <f t="shared" ref="J216:T216" si="14">SUM(J80:J215)</f>
        <v>313192.90000000002</v>
      </c>
      <c r="K216" s="403">
        <f t="shared" si="14"/>
        <v>421613.6</v>
      </c>
      <c r="L216" s="403">
        <f t="shared" si="14"/>
        <v>1308589.8</v>
      </c>
      <c r="M216" s="403">
        <f t="shared" si="14"/>
        <v>1406025</v>
      </c>
      <c r="N216" s="403">
        <f t="shared" si="14"/>
        <v>1203878.7</v>
      </c>
      <c r="O216" s="403">
        <f t="shared" si="11"/>
        <v>5217190.42</v>
      </c>
      <c r="P216" s="403">
        <f t="shared" si="14"/>
        <v>799633.3</v>
      </c>
      <c r="Q216" s="403">
        <f t="shared" si="14"/>
        <v>1555427.01</v>
      </c>
      <c r="R216" s="403">
        <f t="shared" si="14"/>
        <v>1165102.8155799999</v>
      </c>
      <c r="S216" s="403">
        <f t="shared" si="14"/>
        <v>1309785.47828364</v>
      </c>
      <c r="T216" s="403">
        <f t="shared" si="14"/>
        <v>1420277.1948240912</v>
      </c>
      <c r="U216" s="403">
        <f>SUM(U80:U215)</f>
        <v>11467416.218687735</v>
      </c>
      <c r="V216" s="107">
        <f t="shared" si="13"/>
        <v>0</v>
      </c>
      <c r="W216" s="16"/>
    </row>
    <row r="217" spans="1:23" ht="52.5" customHeight="1" x14ac:dyDescent="0.2">
      <c r="A217" s="404">
        <v>3</v>
      </c>
      <c r="B217" s="624" t="s">
        <v>209</v>
      </c>
      <c r="C217" s="405" t="s">
        <v>210</v>
      </c>
      <c r="D217" s="406" t="s">
        <v>61</v>
      </c>
      <c r="E217" s="625" t="s">
        <v>211</v>
      </c>
      <c r="F217" s="407" t="s">
        <v>13</v>
      </c>
      <c r="G217" s="408">
        <v>0</v>
      </c>
      <c r="H217" s="408">
        <v>0</v>
      </c>
      <c r="I217" s="408">
        <v>0</v>
      </c>
      <c r="J217" s="408">
        <v>4059.9</v>
      </c>
      <c r="K217" s="408">
        <v>20246.5</v>
      </c>
      <c r="L217" s="408">
        <v>48490</v>
      </c>
      <c r="M217" s="408">
        <v>51250</v>
      </c>
      <c r="N217" s="408">
        <f>53650-10623.9</f>
        <v>43026.1</v>
      </c>
      <c r="O217" s="408">
        <f t="shared" si="11"/>
        <v>167072.5</v>
      </c>
      <c r="P217" s="408">
        <v>0</v>
      </c>
      <c r="Q217" s="408">
        <v>0</v>
      </c>
      <c r="R217" s="408">
        <v>0</v>
      </c>
      <c r="S217" s="408">
        <v>0</v>
      </c>
      <c r="T217" s="408">
        <v>0</v>
      </c>
      <c r="U217" s="408">
        <f t="shared" si="12"/>
        <v>167072.5</v>
      </c>
      <c r="V217" s="107">
        <f t="shared" si="13"/>
        <v>0</v>
      </c>
      <c r="W217" s="16"/>
    </row>
    <row r="218" spans="1:23" ht="44.25" hidden="1" customHeight="1" x14ac:dyDescent="0.2">
      <c r="A218" s="339"/>
      <c r="B218" s="560"/>
      <c r="C218" s="409" t="s">
        <v>212</v>
      </c>
      <c r="D218" s="410" t="s">
        <v>71</v>
      </c>
      <c r="E218" s="626"/>
      <c r="F218" s="411" t="s">
        <v>213</v>
      </c>
      <c r="G218" s="412">
        <v>0</v>
      </c>
      <c r="H218" s="412">
        <v>0</v>
      </c>
      <c r="I218" s="412">
        <v>0</v>
      </c>
      <c r="J218" s="412">
        <v>0</v>
      </c>
      <c r="K218" s="412">
        <v>0</v>
      </c>
      <c r="L218" s="412">
        <v>0</v>
      </c>
      <c r="M218" s="412"/>
      <c r="N218" s="412"/>
      <c r="O218" s="412">
        <f t="shared" si="11"/>
        <v>0</v>
      </c>
      <c r="P218" s="412"/>
      <c r="Q218" s="412"/>
      <c r="R218" s="412"/>
      <c r="S218" s="412"/>
      <c r="T218" s="412"/>
      <c r="U218" s="412">
        <f t="shared" si="12"/>
        <v>0</v>
      </c>
      <c r="V218" s="107">
        <f t="shared" si="13"/>
        <v>0</v>
      </c>
      <c r="W218" s="16"/>
    </row>
    <row r="219" spans="1:23" ht="44.25" hidden="1" customHeight="1" x14ac:dyDescent="0.2">
      <c r="A219" s="339"/>
      <c r="B219" s="560"/>
      <c r="C219" s="413" t="s">
        <v>214</v>
      </c>
      <c r="D219" s="410" t="s">
        <v>71</v>
      </c>
      <c r="E219" s="626"/>
      <c r="F219" s="411" t="s">
        <v>213</v>
      </c>
      <c r="G219" s="412">
        <v>0</v>
      </c>
      <c r="H219" s="412">
        <v>0</v>
      </c>
      <c r="I219" s="412">
        <v>0</v>
      </c>
      <c r="J219" s="412">
        <v>0</v>
      </c>
      <c r="K219" s="412">
        <v>0</v>
      </c>
      <c r="L219" s="412">
        <v>0</v>
      </c>
      <c r="M219" s="412"/>
      <c r="N219" s="412"/>
      <c r="O219" s="412">
        <f t="shared" si="11"/>
        <v>0</v>
      </c>
      <c r="P219" s="412"/>
      <c r="Q219" s="412"/>
      <c r="R219" s="412"/>
      <c r="S219" s="412"/>
      <c r="T219" s="412"/>
      <c r="U219" s="412">
        <f t="shared" si="12"/>
        <v>0</v>
      </c>
      <c r="V219" s="107">
        <f t="shared" si="13"/>
        <v>0</v>
      </c>
      <c r="W219" s="16"/>
    </row>
    <row r="220" spans="1:23" ht="51" customHeight="1" x14ac:dyDescent="0.2">
      <c r="A220" s="117"/>
      <c r="B220" s="560"/>
      <c r="C220" s="414" t="s">
        <v>215</v>
      </c>
      <c r="D220" s="407" t="s">
        <v>61</v>
      </c>
      <c r="E220" s="626"/>
      <c r="F220" s="407" t="s">
        <v>13</v>
      </c>
      <c r="G220" s="415">
        <v>0</v>
      </c>
      <c r="H220" s="415">
        <v>0</v>
      </c>
      <c r="I220" s="415">
        <v>0</v>
      </c>
      <c r="J220" s="415">
        <v>519.4</v>
      </c>
      <c r="K220" s="415">
        <v>1000</v>
      </c>
      <c r="L220" s="415">
        <v>1000</v>
      </c>
      <c r="M220" s="415">
        <v>1070</v>
      </c>
      <c r="N220" s="415">
        <v>1070</v>
      </c>
      <c r="O220" s="415">
        <f t="shared" si="11"/>
        <v>4659.3999999999996</v>
      </c>
      <c r="P220" s="412">
        <v>0</v>
      </c>
      <c r="Q220" s="412">
        <v>0</v>
      </c>
      <c r="R220" s="412">
        <v>0</v>
      </c>
      <c r="S220" s="412">
        <v>0</v>
      </c>
      <c r="T220" s="412">
        <v>0</v>
      </c>
      <c r="U220" s="412">
        <f t="shared" si="12"/>
        <v>4659.3999999999996</v>
      </c>
      <c r="V220" s="107">
        <f t="shared" si="13"/>
        <v>0</v>
      </c>
      <c r="W220" s="16"/>
    </row>
    <row r="221" spans="1:23" ht="54.75" customHeight="1" x14ac:dyDescent="0.2">
      <c r="A221" s="117"/>
      <c r="B221" s="560"/>
      <c r="C221" s="416" t="s">
        <v>216</v>
      </c>
      <c r="D221" s="417" t="s">
        <v>68</v>
      </c>
      <c r="E221" s="626" t="s">
        <v>217</v>
      </c>
      <c r="F221" s="418" t="s">
        <v>13</v>
      </c>
      <c r="G221" s="415">
        <v>0</v>
      </c>
      <c r="H221" s="415">
        <v>0</v>
      </c>
      <c r="I221" s="415">
        <v>0</v>
      </c>
      <c r="J221" s="415">
        <v>972</v>
      </c>
      <c r="K221" s="415">
        <v>3900</v>
      </c>
      <c r="L221" s="415">
        <v>0</v>
      </c>
      <c r="M221" s="415">
        <v>0</v>
      </c>
      <c r="N221" s="415">
        <v>0</v>
      </c>
      <c r="O221" s="415">
        <f t="shared" si="11"/>
        <v>4872</v>
      </c>
      <c r="P221" s="412">
        <v>0</v>
      </c>
      <c r="Q221" s="412">
        <v>0</v>
      </c>
      <c r="R221" s="412">
        <v>0</v>
      </c>
      <c r="S221" s="412">
        <v>0</v>
      </c>
      <c r="T221" s="412">
        <v>0</v>
      </c>
      <c r="U221" s="412">
        <f t="shared" si="12"/>
        <v>4872</v>
      </c>
      <c r="V221" s="107">
        <f t="shared" si="13"/>
        <v>0</v>
      </c>
      <c r="W221" s="16"/>
    </row>
    <row r="222" spans="1:23" ht="45.75" customHeight="1" x14ac:dyDescent="0.2">
      <c r="A222" s="124"/>
      <c r="B222" s="347"/>
      <c r="C222" s="419" t="s">
        <v>218</v>
      </c>
      <c r="D222" s="420">
        <v>2020</v>
      </c>
      <c r="E222" s="626"/>
      <c r="F222" s="407" t="s">
        <v>13</v>
      </c>
      <c r="G222" s="415">
        <v>0</v>
      </c>
      <c r="H222" s="415">
        <v>0</v>
      </c>
      <c r="I222" s="415">
        <v>0</v>
      </c>
      <c r="J222" s="415">
        <v>0</v>
      </c>
      <c r="K222" s="415">
        <v>900</v>
      </c>
      <c r="L222" s="415">
        <v>0</v>
      </c>
      <c r="M222" s="415">
        <v>0</v>
      </c>
      <c r="N222" s="415">
        <v>0</v>
      </c>
      <c r="O222" s="415">
        <f t="shared" si="11"/>
        <v>900</v>
      </c>
      <c r="P222" s="412">
        <v>0</v>
      </c>
      <c r="Q222" s="412">
        <v>0</v>
      </c>
      <c r="R222" s="412">
        <v>0</v>
      </c>
      <c r="S222" s="412">
        <v>0</v>
      </c>
      <c r="T222" s="412">
        <v>0</v>
      </c>
      <c r="U222" s="412">
        <f t="shared" si="12"/>
        <v>900</v>
      </c>
      <c r="V222" s="107">
        <f t="shared" si="13"/>
        <v>0</v>
      </c>
      <c r="W222" s="16"/>
    </row>
    <row r="223" spans="1:23" ht="44.25" customHeight="1" x14ac:dyDescent="0.2">
      <c r="A223" s="124"/>
      <c r="B223" s="347"/>
      <c r="C223" s="414" t="s">
        <v>219</v>
      </c>
      <c r="D223" s="421" t="s">
        <v>109</v>
      </c>
      <c r="E223" s="347"/>
      <c r="F223" s="407" t="s">
        <v>13</v>
      </c>
      <c r="G223" s="415">
        <v>0</v>
      </c>
      <c r="H223" s="415">
        <v>0</v>
      </c>
      <c r="I223" s="415">
        <v>0</v>
      </c>
      <c r="J223" s="415">
        <v>0</v>
      </c>
      <c r="K223" s="415">
        <v>350</v>
      </c>
      <c r="L223" s="415">
        <v>370</v>
      </c>
      <c r="M223" s="415">
        <v>0</v>
      </c>
      <c r="N223" s="415">
        <v>0</v>
      </c>
      <c r="O223" s="415">
        <f t="shared" si="11"/>
        <v>720</v>
      </c>
      <c r="P223" s="412">
        <v>0</v>
      </c>
      <c r="Q223" s="412">
        <v>0</v>
      </c>
      <c r="R223" s="412">
        <v>0</v>
      </c>
      <c r="S223" s="412">
        <v>0</v>
      </c>
      <c r="T223" s="412">
        <v>0</v>
      </c>
      <c r="U223" s="412">
        <f t="shared" si="12"/>
        <v>720</v>
      </c>
      <c r="V223" s="107">
        <f t="shared" si="13"/>
        <v>0</v>
      </c>
      <c r="W223" s="16"/>
    </row>
    <row r="224" spans="1:23" ht="47.25" customHeight="1" x14ac:dyDescent="0.2">
      <c r="A224" s="124"/>
      <c r="B224" s="347"/>
      <c r="C224" s="422" t="s">
        <v>220</v>
      </c>
      <c r="D224" s="423" t="s">
        <v>109</v>
      </c>
      <c r="E224" s="347"/>
      <c r="F224" s="123" t="s">
        <v>13</v>
      </c>
      <c r="G224" s="424">
        <v>0</v>
      </c>
      <c r="H224" s="424">
        <v>0</v>
      </c>
      <c r="I224" s="424">
        <v>0</v>
      </c>
      <c r="J224" s="424">
        <v>0</v>
      </c>
      <c r="K224" s="424">
        <v>1000</v>
      </c>
      <c r="L224" s="424">
        <v>3000</v>
      </c>
      <c r="M224" s="424">
        <v>3000</v>
      </c>
      <c r="N224" s="424">
        <v>3000</v>
      </c>
      <c r="O224" s="424">
        <f t="shared" si="11"/>
        <v>10000</v>
      </c>
      <c r="P224" s="425">
        <v>0</v>
      </c>
      <c r="Q224" s="425">
        <v>0</v>
      </c>
      <c r="R224" s="425">
        <v>0</v>
      </c>
      <c r="S224" s="425">
        <v>0</v>
      </c>
      <c r="T224" s="425">
        <v>0</v>
      </c>
      <c r="U224" s="425">
        <f t="shared" si="12"/>
        <v>10000</v>
      </c>
      <c r="V224" s="107">
        <f t="shared" si="13"/>
        <v>0</v>
      </c>
      <c r="W224" s="16"/>
    </row>
    <row r="225" spans="1:23" ht="42" customHeight="1" x14ac:dyDescent="0.2">
      <c r="A225" s="117"/>
      <c r="B225" s="343"/>
      <c r="C225" s="131" t="s">
        <v>221</v>
      </c>
      <c r="D225" s="114">
        <v>2020</v>
      </c>
      <c r="E225" s="342"/>
      <c r="F225" s="119" t="s">
        <v>13</v>
      </c>
      <c r="G225" s="424">
        <v>0</v>
      </c>
      <c r="H225" s="424">
        <v>0</v>
      </c>
      <c r="I225" s="424">
        <v>0</v>
      </c>
      <c r="J225" s="424">
        <v>0</v>
      </c>
      <c r="K225" s="424">
        <v>2450</v>
      </c>
      <c r="L225" s="424">
        <v>0</v>
      </c>
      <c r="M225" s="424">
        <v>0</v>
      </c>
      <c r="N225" s="424">
        <v>0</v>
      </c>
      <c r="O225" s="424">
        <f t="shared" si="11"/>
        <v>2450</v>
      </c>
      <c r="P225" s="425">
        <v>0</v>
      </c>
      <c r="Q225" s="425">
        <v>0</v>
      </c>
      <c r="R225" s="425">
        <v>0</v>
      </c>
      <c r="S225" s="425">
        <v>0</v>
      </c>
      <c r="T225" s="425">
        <v>0</v>
      </c>
      <c r="U225" s="425">
        <f t="shared" si="12"/>
        <v>2450</v>
      </c>
      <c r="V225" s="107">
        <f t="shared" si="13"/>
        <v>0</v>
      </c>
      <c r="W225" s="16"/>
    </row>
    <row r="226" spans="1:23" ht="49.5" customHeight="1" x14ac:dyDescent="0.2">
      <c r="A226" s="117"/>
      <c r="B226" s="343"/>
      <c r="C226" s="426" t="s">
        <v>222</v>
      </c>
      <c r="D226" s="427">
        <v>2020</v>
      </c>
      <c r="E226" s="342"/>
      <c r="F226" s="428" t="s">
        <v>13</v>
      </c>
      <c r="G226" s="120">
        <v>0</v>
      </c>
      <c r="H226" s="120">
        <v>0</v>
      </c>
      <c r="I226" s="120">
        <v>0</v>
      </c>
      <c r="J226" s="120">
        <v>0</v>
      </c>
      <c r="K226" s="120">
        <v>4500</v>
      </c>
      <c r="L226" s="120">
        <v>0</v>
      </c>
      <c r="M226" s="120">
        <v>0</v>
      </c>
      <c r="N226" s="120">
        <v>0</v>
      </c>
      <c r="O226" s="120">
        <f t="shared" si="11"/>
        <v>4500</v>
      </c>
      <c r="P226" s="115">
        <v>0</v>
      </c>
      <c r="Q226" s="115">
        <v>0</v>
      </c>
      <c r="R226" s="115">
        <v>0</v>
      </c>
      <c r="S226" s="115">
        <v>0</v>
      </c>
      <c r="T226" s="115">
        <v>0</v>
      </c>
      <c r="U226" s="115">
        <f t="shared" si="12"/>
        <v>4500</v>
      </c>
      <c r="V226" s="107">
        <f t="shared" si="13"/>
        <v>0</v>
      </c>
      <c r="W226" s="16"/>
    </row>
    <row r="227" spans="1:23" ht="40.5" customHeight="1" x14ac:dyDescent="0.2">
      <c r="A227" s="117"/>
      <c r="B227" s="133"/>
      <c r="C227" s="429" t="s">
        <v>223</v>
      </c>
      <c r="D227" s="430" t="s">
        <v>109</v>
      </c>
      <c r="E227" s="342"/>
      <c r="F227" s="428" t="s">
        <v>13</v>
      </c>
      <c r="G227" s="120">
        <v>0</v>
      </c>
      <c r="H227" s="120">
        <v>0</v>
      </c>
      <c r="I227" s="120">
        <v>0</v>
      </c>
      <c r="J227" s="120">
        <v>0</v>
      </c>
      <c r="K227" s="120">
        <v>5160</v>
      </c>
      <c r="L227" s="120">
        <v>5000</v>
      </c>
      <c r="M227" s="120">
        <v>0</v>
      </c>
      <c r="N227" s="120">
        <v>0</v>
      </c>
      <c r="O227" s="120">
        <f t="shared" si="11"/>
        <v>10160</v>
      </c>
      <c r="P227" s="115">
        <v>0</v>
      </c>
      <c r="Q227" s="115">
        <v>0</v>
      </c>
      <c r="R227" s="115">
        <v>0</v>
      </c>
      <c r="S227" s="115">
        <v>0</v>
      </c>
      <c r="T227" s="115">
        <v>0</v>
      </c>
      <c r="U227" s="115">
        <f t="shared" si="12"/>
        <v>10160</v>
      </c>
      <c r="V227" s="107">
        <f t="shared" si="13"/>
        <v>0</v>
      </c>
      <c r="W227" s="16"/>
    </row>
    <row r="228" spans="1:23" ht="48" customHeight="1" x14ac:dyDescent="0.2">
      <c r="A228" s="135"/>
      <c r="B228" s="136"/>
      <c r="C228" s="137" t="s">
        <v>224</v>
      </c>
      <c r="D228" s="431" t="s">
        <v>71</v>
      </c>
      <c r="E228" s="342"/>
      <c r="F228" s="430" t="s">
        <v>13</v>
      </c>
      <c r="G228" s="120">
        <v>0</v>
      </c>
      <c r="H228" s="120">
        <v>0</v>
      </c>
      <c r="I228" s="120">
        <v>0</v>
      </c>
      <c r="J228" s="120">
        <v>0</v>
      </c>
      <c r="K228" s="120">
        <v>0</v>
      </c>
      <c r="L228" s="120">
        <v>3150</v>
      </c>
      <c r="M228" s="120">
        <v>3125</v>
      </c>
      <c r="N228" s="120">
        <v>3125</v>
      </c>
      <c r="O228" s="120">
        <f t="shared" si="11"/>
        <v>9400</v>
      </c>
      <c r="P228" s="115">
        <v>0</v>
      </c>
      <c r="Q228" s="115">
        <v>0</v>
      </c>
      <c r="R228" s="115">
        <v>0</v>
      </c>
      <c r="S228" s="115">
        <v>0</v>
      </c>
      <c r="T228" s="115">
        <v>0</v>
      </c>
      <c r="U228" s="115">
        <f t="shared" si="12"/>
        <v>9400</v>
      </c>
      <c r="V228" s="107">
        <f t="shared" si="13"/>
        <v>0</v>
      </c>
      <c r="W228" s="16"/>
    </row>
    <row r="229" spans="1:23" ht="51.75" customHeight="1" x14ac:dyDescent="0.2">
      <c r="A229" s="135"/>
      <c r="B229" s="344"/>
      <c r="C229" s="432" t="s">
        <v>225</v>
      </c>
      <c r="D229" s="433" t="s">
        <v>71</v>
      </c>
      <c r="E229" s="345"/>
      <c r="F229" s="428" t="s">
        <v>13</v>
      </c>
      <c r="G229" s="120">
        <v>0</v>
      </c>
      <c r="H229" s="120">
        <v>0</v>
      </c>
      <c r="I229" s="120">
        <v>0</v>
      </c>
      <c r="J229" s="120">
        <v>0</v>
      </c>
      <c r="K229" s="120">
        <v>0</v>
      </c>
      <c r="L229" s="120">
        <f>5350-5350</f>
        <v>0</v>
      </c>
      <c r="M229" s="120">
        <f>5350-5350</f>
        <v>0</v>
      </c>
      <c r="N229" s="120">
        <f>5350-5350</f>
        <v>0</v>
      </c>
      <c r="O229" s="120">
        <f t="shared" si="11"/>
        <v>0</v>
      </c>
      <c r="P229" s="115">
        <v>0</v>
      </c>
      <c r="Q229" s="115">
        <v>0</v>
      </c>
      <c r="R229" s="115">
        <v>0</v>
      </c>
      <c r="S229" s="115">
        <v>0</v>
      </c>
      <c r="T229" s="115">
        <v>0</v>
      </c>
      <c r="U229" s="115">
        <f t="shared" si="12"/>
        <v>0</v>
      </c>
      <c r="V229" s="107">
        <f t="shared" si="13"/>
        <v>0</v>
      </c>
      <c r="W229" s="16"/>
    </row>
    <row r="230" spans="1:23" ht="40.5" customHeight="1" x14ac:dyDescent="0.2">
      <c r="A230" s="135"/>
      <c r="B230" s="344"/>
      <c r="C230" s="434" t="s">
        <v>226</v>
      </c>
      <c r="D230" s="435" t="s">
        <v>71</v>
      </c>
      <c r="E230" s="342"/>
      <c r="F230" s="436" t="s">
        <v>13</v>
      </c>
      <c r="G230" s="120">
        <v>0</v>
      </c>
      <c r="H230" s="120">
        <v>0</v>
      </c>
      <c r="I230" s="120">
        <v>0</v>
      </c>
      <c r="J230" s="120">
        <v>0</v>
      </c>
      <c r="K230" s="120">
        <v>0</v>
      </c>
      <c r="L230" s="120">
        <v>6500</v>
      </c>
      <c r="M230" s="120">
        <v>750</v>
      </c>
      <c r="N230" s="120">
        <v>750</v>
      </c>
      <c r="O230" s="120">
        <f t="shared" si="11"/>
        <v>8000</v>
      </c>
      <c r="P230" s="115">
        <v>0</v>
      </c>
      <c r="Q230" s="115">
        <v>0</v>
      </c>
      <c r="R230" s="115">
        <v>0</v>
      </c>
      <c r="S230" s="115">
        <v>0</v>
      </c>
      <c r="T230" s="115">
        <v>0</v>
      </c>
      <c r="U230" s="115">
        <f t="shared" si="12"/>
        <v>8000</v>
      </c>
      <c r="V230" s="107">
        <f t="shared" si="13"/>
        <v>0</v>
      </c>
      <c r="W230" s="16"/>
    </row>
    <row r="231" spans="1:23" ht="84" customHeight="1" x14ac:dyDescent="0.2">
      <c r="A231" s="135"/>
      <c r="B231" s="344"/>
      <c r="C231" s="142" t="s">
        <v>227</v>
      </c>
      <c r="D231" s="143">
        <v>2023</v>
      </c>
      <c r="E231" s="342"/>
      <c r="F231" s="437" t="s">
        <v>13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20">
        <f>10623.9-934.29</f>
        <v>9689.61</v>
      </c>
      <c r="O231" s="20">
        <f t="shared" si="11"/>
        <v>9689.61</v>
      </c>
      <c r="P231" s="115">
        <v>0</v>
      </c>
      <c r="Q231" s="115">
        <v>0</v>
      </c>
      <c r="R231" s="115">
        <v>0</v>
      </c>
      <c r="S231" s="115">
        <v>0</v>
      </c>
      <c r="T231" s="115">
        <v>0</v>
      </c>
      <c r="U231" s="15">
        <f t="shared" si="12"/>
        <v>9689.61</v>
      </c>
      <c r="V231" s="107">
        <f t="shared" si="13"/>
        <v>0</v>
      </c>
      <c r="W231" s="16"/>
    </row>
    <row r="232" spans="1:23" ht="43.5" customHeight="1" x14ac:dyDescent="0.2">
      <c r="A232" s="144"/>
      <c r="B232" s="145"/>
      <c r="C232" s="438" t="s">
        <v>228</v>
      </c>
      <c r="D232" s="439">
        <v>2023</v>
      </c>
      <c r="E232" s="148"/>
      <c r="F232" s="440" t="s">
        <v>13</v>
      </c>
      <c r="G232" s="120">
        <v>0</v>
      </c>
      <c r="H232" s="120">
        <v>0</v>
      </c>
      <c r="I232" s="120">
        <v>0</v>
      </c>
      <c r="J232" s="120">
        <v>0</v>
      </c>
      <c r="K232" s="120">
        <v>0</v>
      </c>
      <c r="L232" s="120">
        <v>0</v>
      </c>
      <c r="M232" s="120">
        <v>0</v>
      </c>
      <c r="N232" s="20">
        <v>934.28800000000001</v>
      </c>
      <c r="O232" s="20">
        <f t="shared" si="11"/>
        <v>934.28800000000001</v>
      </c>
      <c r="P232" s="115">
        <v>0</v>
      </c>
      <c r="Q232" s="115">
        <v>0</v>
      </c>
      <c r="R232" s="115">
        <v>0</v>
      </c>
      <c r="S232" s="115">
        <v>0</v>
      </c>
      <c r="T232" s="115">
        <v>0</v>
      </c>
      <c r="U232" s="15">
        <f t="shared" si="12"/>
        <v>934.28800000000001</v>
      </c>
      <c r="V232" s="107">
        <f t="shared" si="13"/>
        <v>0</v>
      </c>
      <c r="W232" s="16"/>
    </row>
    <row r="233" spans="1:23" ht="41.25" customHeight="1" x14ac:dyDescent="0.2">
      <c r="A233" s="615" t="s">
        <v>91</v>
      </c>
      <c r="B233" s="616"/>
      <c r="C233" s="441"/>
      <c r="D233" s="431"/>
      <c r="E233" s="442"/>
      <c r="F233" s="431" t="s">
        <v>13</v>
      </c>
      <c r="G233" s="443">
        <f>SUM(G217:G232)</f>
        <v>0</v>
      </c>
      <c r="H233" s="443">
        <f t="shared" ref="H233:T233" si="15">SUM(H217:H232)</f>
        <v>0</v>
      </c>
      <c r="I233" s="443">
        <f t="shared" si="15"/>
        <v>0</v>
      </c>
      <c r="J233" s="443">
        <f t="shared" si="15"/>
        <v>5551.3</v>
      </c>
      <c r="K233" s="443">
        <f t="shared" si="15"/>
        <v>39506.5</v>
      </c>
      <c r="L233" s="443">
        <f t="shared" si="15"/>
        <v>67510</v>
      </c>
      <c r="M233" s="443">
        <f t="shared" si="15"/>
        <v>59195</v>
      </c>
      <c r="N233" s="443">
        <f t="shared" si="15"/>
        <v>61594.998</v>
      </c>
      <c r="O233" s="443">
        <f t="shared" si="11"/>
        <v>233357.79799999998</v>
      </c>
      <c r="P233" s="443">
        <f t="shared" si="15"/>
        <v>0</v>
      </c>
      <c r="Q233" s="443">
        <f t="shared" si="15"/>
        <v>0</v>
      </c>
      <c r="R233" s="443">
        <f t="shared" si="15"/>
        <v>0</v>
      </c>
      <c r="S233" s="443">
        <f t="shared" si="15"/>
        <v>0</v>
      </c>
      <c r="T233" s="443">
        <f t="shared" si="15"/>
        <v>0</v>
      </c>
      <c r="U233" s="443">
        <f>SUM(G233:T233)-O233</f>
        <v>233357.79799999998</v>
      </c>
      <c r="V233" s="107">
        <f t="shared" si="13"/>
        <v>0</v>
      </c>
      <c r="W233" s="16"/>
    </row>
    <row r="234" spans="1:23" ht="80.25" customHeight="1" x14ac:dyDescent="0.2">
      <c r="A234" s="151">
        <v>4</v>
      </c>
      <c r="B234" s="343" t="s">
        <v>229</v>
      </c>
      <c r="C234" s="152" t="s">
        <v>386</v>
      </c>
      <c r="D234" s="153">
        <v>2020</v>
      </c>
      <c r="E234" s="154" t="s">
        <v>231</v>
      </c>
      <c r="F234" s="444" t="s">
        <v>13</v>
      </c>
      <c r="G234" s="424">
        <v>0</v>
      </c>
      <c r="H234" s="424">
        <v>0</v>
      </c>
      <c r="I234" s="424">
        <v>0</v>
      </c>
      <c r="J234" s="424">
        <v>0</v>
      </c>
      <c r="K234" s="424">
        <v>167.43</v>
      </c>
      <c r="L234" s="424">
        <v>0</v>
      </c>
      <c r="M234" s="424">
        <v>0</v>
      </c>
      <c r="N234" s="424">
        <v>0</v>
      </c>
      <c r="O234" s="424">
        <f t="shared" si="11"/>
        <v>167.43</v>
      </c>
      <c r="P234" s="425">
        <v>0</v>
      </c>
      <c r="Q234" s="425">
        <v>0</v>
      </c>
      <c r="R234" s="425">
        <v>0</v>
      </c>
      <c r="S234" s="425">
        <v>0</v>
      </c>
      <c r="T234" s="425">
        <v>0</v>
      </c>
      <c r="U234" s="425">
        <f t="shared" si="12"/>
        <v>167.43</v>
      </c>
      <c r="V234" s="107">
        <f t="shared" si="13"/>
        <v>0</v>
      </c>
      <c r="W234" s="16"/>
    </row>
    <row r="235" spans="1:23" ht="96.75" customHeight="1" x14ac:dyDescent="0.2">
      <c r="A235" s="151"/>
      <c r="B235" s="343"/>
      <c r="C235" s="426" t="s">
        <v>232</v>
      </c>
      <c r="D235" s="445" t="s">
        <v>18</v>
      </c>
      <c r="E235" s="446" t="s">
        <v>233</v>
      </c>
      <c r="F235" s="427" t="s">
        <v>13</v>
      </c>
      <c r="G235" s="425">
        <v>199.92</v>
      </c>
      <c r="H235" s="425">
        <v>0</v>
      </c>
      <c r="I235" s="425">
        <v>0</v>
      </c>
      <c r="J235" s="425">
        <v>0</v>
      </c>
      <c r="K235" s="425">
        <v>0</v>
      </c>
      <c r="L235" s="425">
        <v>0</v>
      </c>
      <c r="M235" s="425">
        <v>0</v>
      </c>
      <c r="N235" s="425">
        <v>0</v>
      </c>
      <c r="O235" s="425">
        <f t="shared" si="11"/>
        <v>199.92</v>
      </c>
      <c r="P235" s="425">
        <v>0</v>
      </c>
      <c r="Q235" s="425">
        <v>0</v>
      </c>
      <c r="R235" s="425">
        <v>0</v>
      </c>
      <c r="S235" s="425">
        <v>0</v>
      </c>
      <c r="T235" s="425">
        <v>0</v>
      </c>
      <c r="U235" s="425">
        <f t="shared" si="12"/>
        <v>199.92</v>
      </c>
      <c r="V235" s="107">
        <f t="shared" si="13"/>
        <v>0</v>
      </c>
      <c r="W235" s="16"/>
    </row>
    <row r="236" spans="1:23" ht="83.25" customHeight="1" x14ac:dyDescent="0.2">
      <c r="A236" s="157"/>
      <c r="B236" s="158"/>
      <c r="C236" s="447" t="s">
        <v>234</v>
      </c>
      <c r="D236" s="445">
        <v>2021</v>
      </c>
      <c r="E236" s="446" t="s">
        <v>231</v>
      </c>
      <c r="F236" s="427" t="s">
        <v>13</v>
      </c>
      <c r="G236" s="448">
        <v>0</v>
      </c>
      <c r="H236" s="448">
        <v>0</v>
      </c>
      <c r="I236" s="448">
        <v>0</v>
      </c>
      <c r="J236" s="448">
        <v>0</v>
      </c>
      <c r="K236" s="448">
        <v>0</v>
      </c>
      <c r="L236" s="448">
        <v>485.1</v>
      </c>
      <c r="M236" s="448">
        <v>0</v>
      </c>
      <c r="N236" s="448">
        <v>0</v>
      </c>
      <c r="O236" s="448">
        <f t="shared" si="11"/>
        <v>485.1</v>
      </c>
      <c r="P236" s="449">
        <v>0</v>
      </c>
      <c r="Q236" s="449">
        <v>0</v>
      </c>
      <c r="R236" s="449">
        <v>0</v>
      </c>
      <c r="S236" s="449">
        <v>0</v>
      </c>
      <c r="T236" s="449">
        <v>0</v>
      </c>
      <c r="U236" s="449">
        <f t="shared" si="12"/>
        <v>485.1</v>
      </c>
      <c r="V236" s="107">
        <f t="shared" si="13"/>
        <v>0</v>
      </c>
      <c r="W236" s="16"/>
    </row>
    <row r="237" spans="1:23" ht="77.25" customHeight="1" x14ac:dyDescent="0.2">
      <c r="A237" s="162"/>
      <c r="B237" s="163"/>
      <c r="C237" s="447" t="s">
        <v>235</v>
      </c>
      <c r="D237" s="445">
        <v>2022</v>
      </c>
      <c r="E237" s="446" t="s">
        <v>231</v>
      </c>
      <c r="F237" s="427" t="s">
        <v>13</v>
      </c>
      <c r="G237" s="448">
        <v>0</v>
      </c>
      <c r="H237" s="448">
        <v>0</v>
      </c>
      <c r="I237" s="448">
        <v>0</v>
      </c>
      <c r="J237" s="448">
        <v>0</v>
      </c>
      <c r="K237" s="448">
        <v>0</v>
      </c>
      <c r="L237" s="448">
        <v>0</v>
      </c>
      <c r="M237" s="448">
        <v>488.9</v>
      </c>
      <c r="N237" s="448">
        <v>0</v>
      </c>
      <c r="O237" s="448">
        <f t="shared" si="11"/>
        <v>488.9</v>
      </c>
      <c r="P237" s="449">
        <v>0</v>
      </c>
      <c r="Q237" s="449">
        <v>0</v>
      </c>
      <c r="R237" s="449">
        <v>0</v>
      </c>
      <c r="S237" s="449">
        <v>0</v>
      </c>
      <c r="T237" s="449">
        <v>0</v>
      </c>
      <c r="U237" s="449">
        <f t="shared" si="12"/>
        <v>488.9</v>
      </c>
      <c r="V237" s="107">
        <f t="shared" si="13"/>
        <v>0</v>
      </c>
      <c r="W237" s="16"/>
    </row>
    <row r="238" spans="1:23" ht="40.5" customHeight="1" x14ac:dyDescent="0.2">
      <c r="A238" s="617" t="s">
        <v>91</v>
      </c>
      <c r="B238" s="617"/>
      <c r="C238" s="618"/>
      <c r="D238" s="618"/>
      <c r="E238" s="618"/>
      <c r="F238" s="427" t="s">
        <v>13</v>
      </c>
      <c r="G238" s="443">
        <f>SUM(G234:G237)</f>
        <v>199.92</v>
      </c>
      <c r="H238" s="443">
        <f t="shared" ref="H238:T238" si="16">SUM(H234:H237)</f>
        <v>0</v>
      </c>
      <c r="I238" s="443">
        <f t="shared" si="16"/>
        <v>0</v>
      </c>
      <c r="J238" s="443">
        <f t="shared" si="16"/>
        <v>0</v>
      </c>
      <c r="K238" s="443">
        <f t="shared" si="16"/>
        <v>167.43</v>
      </c>
      <c r="L238" s="443">
        <f t="shared" si="16"/>
        <v>485.1</v>
      </c>
      <c r="M238" s="443">
        <f t="shared" si="16"/>
        <v>488.9</v>
      </c>
      <c r="N238" s="443">
        <f t="shared" si="16"/>
        <v>0</v>
      </c>
      <c r="O238" s="443">
        <f t="shared" si="11"/>
        <v>1341.35</v>
      </c>
      <c r="P238" s="443">
        <f t="shared" si="16"/>
        <v>0</v>
      </c>
      <c r="Q238" s="443">
        <f t="shared" si="16"/>
        <v>0</v>
      </c>
      <c r="R238" s="443">
        <f t="shared" si="16"/>
        <v>0</v>
      </c>
      <c r="S238" s="443">
        <f t="shared" si="16"/>
        <v>0</v>
      </c>
      <c r="T238" s="443">
        <f t="shared" si="16"/>
        <v>0</v>
      </c>
      <c r="U238" s="443">
        <f>SUM(G238:T238)-O238</f>
        <v>1341.35</v>
      </c>
      <c r="V238" s="107">
        <f t="shared" si="13"/>
        <v>0</v>
      </c>
      <c r="W238" s="16"/>
    </row>
    <row r="239" spans="1:23" ht="78.75" customHeight="1" x14ac:dyDescent="0.2">
      <c r="A239" s="450">
        <v>5</v>
      </c>
      <c r="B239" s="451" t="s">
        <v>236</v>
      </c>
      <c r="C239" s="452" t="s">
        <v>237</v>
      </c>
      <c r="D239" s="453" t="s">
        <v>238</v>
      </c>
      <c r="E239" s="454" t="s">
        <v>231</v>
      </c>
      <c r="F239" s="455" t="s">
        <v>13</v>
      </c>
      <c r="G239" s="115">
        <v>0</v>
      </c>
      <c r="H239" s="115">
        <v>300</v>
      </c>
      <c r="I239" s="115">
        <v>0</v>
      </c>
      <c r="J239" s="115">
        <v>0</v>
      </c>
      <c r="K239" s="115">
        <v>0</v>
      </c>
      <c r="L239" s="115">
        <v>1469</v>
      </c>
      <c r="M239" s="115">
        <v>0</v>
      </c>
      <c r="N239" s="115">
        <v>0</v>
      </c>
      <c r="O239" s="115">
        <f t="shared" si="11"/>
        <v>1769</v>
      </c>
      <c r="P239" s="115">
        <v>0</v>
      </c>
      <c r="Q239" s="115">
        <v>0</v>
      </c>
      <c r="R239" s="115">
        <v>0</v>
      </c>
      <c r="S239" s="115">
        <v>0</v>
      </c>
      <c r="T239" s="115">
        <v>0</v>
      </c>
      <c r="U239" s="115">
        <f t="shared" si="12"/>
        <v>1769</v>
      </c>
      <c r="V239" s="107">
        <f t="shared" si="13"/>
        <v>0</v>
      </c>
      <c r="W239" s="16"/>
    </row>
    <row r="240" spans="1:23" ht="41.25" customHeight="1" x14ac:dyDescent="0.2">
      <c r="A240" s="456"/>
      <c r="B240" s="457"/>
      <c r="C240" s="458" t="s">
        <v>239</v>
      </c>
      <c r="D240" s="459" t="s">
        <v>73</v>
      </c>
      <c r="E240" s="619" t="s">
        <v>231</v>
      </c>
      <c r="F240" s="460" t="s">
        <v>13</v>
      </c>
      <c r="G240" s="115">
        <v>0</v>
      </c>
      <c r="H240" s="115">
        <v>0</v>
      </c>
      <c r="I240" s="115">
        <v>0</v>
      </c>
      <c r="J240" s="115">
        <v>0</v>
      </c>
      <c r="K240" s="115">
        <v>0</v>
      </c>
      <c r="L240" s="115">
        <v>31</v>
      </c>
      <c r="M240" s="115">
        <v>0</v>
      </c>
      <c r="N240" s="115">
        <v>0</v>
      </c>
      <c r="O240" s="115">
        <f t="shared" si="11"/>
        <v>31</v>
      </c>
      <c r="P240" s="115">
        <v>50</v>
      </c>
      <c r="Q240" s="115">
        <v>55</v>
      </c>
      <c r="R240" s="115">
        <v>61</v>
      </c>
      <c r="S240" s="115">
        <v>67</v>
      </c>
      <c r="T240" s="115">
        <v>75</v>
      </c>
      <c r="U240" s="115">
        <f t="shared" si="12"/>
        <v>339</v>
      </c>
      <c r="V240" s="107">
        <f t="shared" si="13"/>
        <v>0</v>
      </c>
      <c r="W240" s="16"/>
    </row>
    <row r="241" spans="1:23" ht="52.5" customHeight="1" x14ac:dyDescent="0.2">
      <c r="A241" s="456"/>
      <c r="B241" s="457"/>
      <c r="C241" s="461" t="s">
        <v>240</v>
      </c>
      <c r="D241" s="462" t="s">
        <v>88</v>
      </c>
      <c r="E241" s="620"/>
      <c r="F241" s="460" t="s">
        <v>13</v>
      </c>
      <c r="G241" s="115">
        <v>0</v>
      </c>
      <c r="H241" s="115">
        <v>0</v>
      </c>
      <c r="I241" s="115">
        <v>0</v>
      </c>
      <c r="J241" s="115">
        <v>0</v>
      </c>
      <c r="K241" s="115">
        <v>0</v>
      </c>
      <c r="L241" s="115">
        <v>0</v>
      </c>
      <c r="M241" s="115">
        <v>0</v>
      </c>
      <c r="N241" s="115">
        <v>0</v>
      </c>
      <c r="O241" s="115">
        <f t="shared" si="11"/>
        <v>0</v>
      </c>
      <c r="P241" s="115">
        <v>35</v>
      </c>
      <c r="Q241" s="115">
        <v>40</v>
      </c>
      <c r="R241" s="115">
        <v>45</v>
      </c>
      <c r="S241" s="115">
        <v>50</v>
      </c>
      <c r="T241" s="115">
        <v>55</v>
      </c>
      <c r="U241" s="115">
        <f t="shared" si="12"/>
        <v>225</v>
      </c>
      <c r="V241" s="107">
        <f t="shared" si="13"/>
        <v>0</v>
      </c>
      <c r="W241" s="16"/>
    </row>
    <row r="242" spans="1:23" ht="41.25" customHeight="1" x14ac:dyDescent="0.2">
      <c r="A242" s="621" t="s">
        <v>91</v>
      </c>
      <c r="B242" s="621"/>
      <c r="C242" s="622"/>
      <c r="D242" s="622"/>
      <c r="E242" s="622"/>
      <c r="F242" s="460" t="s">
        <v>13</v>
      </c>
      <c r="G242" s="175">
        <f>G239+G240+G241</f>
        <v>0</v>
      </c>
      <c r="H242" s="175">
        <f t="shared" ref="H242:T242" si="17">H239+H240+H241</f>
        <v>300</v>
      </c>
      <c r="I242" s="175">
        <f t="shared" si="17"/>
        <v>0</v>
      </c>
      <c r="J242" s="175">
        <f t="shared" si="17"/>
        <v>0</v>
      </c>
      <c r="K242" s="175">
        <f t="shared" si="17"/>
        <v>0</v>
      </c>
      <c r="L242" s="175">
        <f t="shared" si="17"/>
        <v>1500</v>
      </c>
      <c r="M242" s="175">
        <f t="shared" si="17"/>
        <v>0</v>
      </c>
      <c r="N242" s="175">
        <f t="shared" si="17"/>
        <v>0</v>
      </c>
      <c r="O242" s="175">
        <f t="shared" si="11"/>
        <v>1800</v>
      </c>
      <c r="P242" s="175">
        <f t="shared" si="17"/>
        <v>85</v>
      </c>
      <c r="Q242" s="175">
        <f t="shared" si="17"/>
        <v>95</v>
      </c>
      <c r="R242" s="175">
        <f t="shared" si="17"/>
        <v>106</v>
      </c>
      <c r="S242" s="175">
        <f t="shared" si="17"/>
        <v>117</v>
      </c>
      <c r="T242" s="175">
        <f t="shared" si="17"/>
        <v>130</v>
      </c>
      <c r="U242" s="175">
        <f>SUM(G242:T242)-O242</f>
        <v>2333</v>
      </c>
      <c r="V242" s="107">
        <f t="shared" si="13"/>
        <v>0</v>
      </c>
      <c r="W242" s="16"/>
    </row>
    <row r="243" spans="1:23" ht="46.5" customHeight="1" x14ac:dyDescent="0.2">
      <c r="A243" s="613" t="s">
        <v>241</v>
      </c>
      <c r="B243" s="613"/>
      <c r="C243" s="463"/>
      <c r="D243" s="464"/>
      <c r="E243" s="465"/>
      <c r="F243" s="460" t="s">
        <v>13</v>
      </c>
      <c r="G243" s="179">
        <f t="shared" ref="G243:T243" si="18">G238+G79+G216+G233+G242</f>
        <v>254461.71999999997</v>
      </c>
      <c r="H243" s="179">
        <f t="shared" si="18"/>
        <v>419562.19999999995</v>
      </c>
      <c r="I243" s="179">
        <f t="shared" si="18"/>
        <v>461134.5</v>
      </c>
      <c r="J243" s="179">
        <f t="shared" si="18"/>
        <v>614158.40000000014</v>
      </c>
      <c r="K243" s="179">
        <f t="shared" si="18"/>
        <v>910764.79</v>
      </c>
      <c r="L243" s="179">
        <f t="shared" si="18"/>
        <v>2006163.4</v>
      </c>
      <c r="M243" s="179">
        <f t="shared" si="18"/>
        <v>2130497.2000000002</v>
      </c>
      <c r="N243" s="179">
        <f t="shared" si="18"/>
        <v>2120341.898</v>
      </c>
      <c r="O243" s="179">
        <f>G243+H243+I243+J243+K243+L243+M243+N243</f>
        <v>8917084.1079999991</v>
      </c>
      <c r="P243" s="179">
        <f t="shared" si="18"/>
        <v>1849038.28614</v>
      </c>
      <c r="Q243" s="179">
        <f t="shared" si="18"/>
        <v>2907043.7037400003</v>
      </c>
      <c r="R243" s="179">
        <f t="shared" si="18"/>
        <v>2684521.9948199997</v>
      </c>
      <c r="S243" s="179">
        <f t="shared" si="18"/>
        <v>2950088.7464736402</v>
      </c>
      <c r="T243" s="179">
        <f t="shared" si="18"/>
        <v>3282699.7496440914</v>
      </c>
      <c r="U243" s="179">
        <f>SUM(G243:T243)-O243</f>
        <v>22590476.588817727</v>
      </c>
      <c r="V243" s="107">
        <f t="shared" si="13"/>
        <v>0</v>
      </c>
      <c r="W243" s="16">
        <f>O243+P243+Q243+R243+S243+T243-U243</f>
        <v>0</v>
      </c>
    </row>
    <row r="244" spans="1:23" ht="0.75" customHeight="1" x14ac:dyDescent="0.2">
      <c r="A244" s="180"/>
      <c r="B244" s="466"/>
      <c r="C244" s="467"/>
      <c r="D244" s="468"/>
      <c r="E244" s="468"/>
      <c r="F244" s="436"/>
      <c r="G244" s="185"/>
      <c r="H244" s="185"/>
      <c r="I244" s="185"/>
      <c r="J244" s="185"/>
      <c r="K244" s="185"/>
      <c r="L244" s="185"/>
      <c r="M244" s="185"/>
      <c r="N244" s="185"/>
      <c r="O244" s="185"/>
      <c r="P244" s="185"/>
      <c r="Q244" s="185"/>
      <c r="R244" s="185"/>
      <c r="S244" s="185"/>
      <c r="T244" s="185"/>
      <c r="U244" s="186"/>
      <c r="W244" s="16"/>
    </row>
    <row r="245" spans="1:23" ht="30.75" customHeight="1" x14ac:dyDescent="0.2">
      <c r="A245" s="180"/>
      <c r="B245" s="614" t="s">
        <v>242</v>
      </c>
      <c r="C245" s="614"/>
      <c r="D245" s="614"/>
      <c r="E245" s="614"/>
      <c r="F245" s="614"/>
      <c r="G245" s="614"/>
      <c r="H245" s="614"/>
      <c r="I245" s="614"/>
      <c r="J245" s="614"/>
      <c r="K245" s="614"/>
      <c r="L245" s="614"/>
      <c r="M245" s="614"/>
      <c r="N245" s="614"/>
      <c r="O245" s="614"/>
      <c r="P245" s="614"/>
      <c r="Q245" s="614"/>
      <c r="R245" s="614"/>
      <c r="S245" s="614"/>
      <c r="T245" s="614"/>
      <c r="U245" s="614"/>
      <c r="V245" s="107">
        <f>SUM(V12:V244)</f>
        <v>0</v>
      </c>
      <c r="W245" s="16"/>
    </row>
    <row r="246" spans="1:23" ht="72.75" customHeight="1" x14ac:dyDescent="0.25">
      <c r="B246" s="187" t="s">
        <v>124</v>
      </c>
      <c r="D246" s="187"/>
      <c r="E246" s="187"/>
      <c r="W246" s="16"/>
    </row>
    <row r="247" spans="1:23" s="17" customFormat="1" ht="27" x14ac:dyDescent="0.35">
      <c r="B247" s="604" t="s">
        <v>361</v>
      </c>
      <c r="C247" s="604"/>
      <c r="D247" s="604"/>
      <c r="E247" s="604"/>
      <c r="F247" s="604"/>
      <c r="G247" s="604"/>
      <c r="H247" s="604"/>
      <c r="I247" s="604"/>
      <c r="J247" s="604"/>
      <c r="K247" s="604"/>
      <c r="O247" s="322" t="s">
        <v>362</v>
      </c>
      <c r="W247" s="16"/>
    </row>
    <row r="248" spans="1:23" s="17" customFormat="1" x14ac:dyDescent="0.2">
      <c r="C248" s="188"/>
      <c r="W248" s="16"/>
    </row>
    <row r="249" spans="1:23" x14ac:dyDescent="0.2">
      <c r="W249" s="16"/>
    </row>
    <row r="250" spans="1:23" x14ac:dyDescent="0.2">
      <c r="W250" s="16"/>
    </row>
    <row r="251" spans="1:23" x14ac:dyDescent="0.2">
      <c r="W251" s="16"/>
    </row>
    <row r="252" spans="1:23" x14ac:dyDescent="0.2">
      <c r="G252" s="107">
        <f>G243-'[1]додаток сесія_1901_решение'!G246</f>
        <v>0</v>
      </c>
      <c r="H252" s="107">
        <f>H243-'[1]додаток сесія_1901_решение'!H246</f>
        <v>0</v>
      </c>
      <c r="I252" s="107">
        <f>I243-'[1]додаток сесія_1901_решение'!I246</f>
        <v>0</v>
      </c>
      <c r="J252" s="107">
        <f>J243-'[1]додаток сесія_1901_решение'!J246</f>
        <v>0</v>
      </c>
      <c r="K252" s="107">
        <f>K243-'[1]додаток сесія_1901_решение'!K246</f>
        <v>0</v>
      </c>
      <c r="L252" s="107">
        <f>L243-'[1]додаток сесія_1901_решение'!L246</f>
        <v>0</v>
      </c>
      <c r="M252" s="107">
        <f>M243-'[1]додаток сесія_1901_решение'!M246</f>
        <v>0</v>
      </c>
      <c r="N252" s="107">
        <f>N243-'[1]додаток сесія_1901_решение'!N246</f>
        <v>-1.999999862164259E-3</v>
      </c>
      <c r="O252" s="107"/>
      <c r="P252" s="107"/>
      <c r="Q252" s="107"/>
      <c r="R252" s="107"/>
      <c r="S252" s="107"/>
      <c r="T252" s="107"/>
      <c r="U252" s="107">
        <f>U243-'[1]додаток сесія_1901_решение'!O246</f>
        <v>13673392.478817726</v>
      </c>
      <c r="V252" s="107">
        <f>P243+Q243+R243+S243+T243</f>
        <v>13673392.480817731</v>
      </c>
      <c r="W252" s="16"/>
    </row>
    <row r="253" spans="1:23" x14ac:dyDescent="0.2">
      <c r="G253" s="107">
        <f>G216-'[1]додаток сесія_1901_решение'!G212</f>
        <v>0</v>
      </c>
      <c r="H253" s="107">
        <f>H216-'[1]додаток сесія_1901_решение'!H212</f>
        <v>0</v>
      </c>
      <c r="I253" s="107">
        <f>I216-'[1]додаток сесія_1901_решение'!I212</f>
        <v>0</v>
      </c>
      <c r="J253" s="107">
        <f>J216-'[1]додаток сесія_1901_решение'!J212</f>
        <v>0</v>
      </c>
      <c r="K253" s="107">
        <f>K216-'[1]додаток сесія_1901_решение'!K212</f>
        <v>0</v>
      </c>
      <c r="L253" s="107">
        <f>L216-'[1]додаток сесія_1901_решение'!L212</f>
        <v>0</v>
      </c>
      <c r="M253" s="107">
        <f>M216-'[1]додаток сесія_1901_решение'!M212</f>
        <v>0</v>
      </c>
      <c r="N253" s="107">
        <f>N216-'[1]додаток сесія_1901_решение'!N212</f>
        <v>0</v>
      </c>
      <c r="O253" s="107"/>
      <c r="P253" s="107"/>
      <c r="Q253" s="107"/>
      <c r="R253" s="107"/>
      <c r="S253" s="107"/>
      <c r="T253" s="107"/>
      <c r="U253" s="107">
        <f>U216-'[1]додаток сесія_1901_решение'!O212</f>
        <v>6250225.7986877356</v>
      </c>
      <c r="V253" s="107">
        <f>U243-V252</f>
        <v>8917084.1079999954</v>
      </c>
      <c r="W253" s="16"/>
    </row>
    <row r="254" spans="1:23" x14ac:dyDescent="0.2">
      <c r="G254" s="107">
        <f>G79-'[1]додаток сесія_1901_решение'!G88</f>
        <v>0</v>
      </c>
      <c r="H254" s="107">
        <f>H79-'[1]додаток сесія_1901_решение'!H88</f>
        <v>0</v>
      </c>
      <c r="I254" s="107">
        <f>I79-'[1]додаток сесія_1901_решение'!I88</f>
        <v>0</v>
      </c>
      <c r="J254" s="107">
        <f>J79-'[1]додаток сесія_1901_решение'!J88</f>
        <v>0</v>
      </c>
      <c r="K254" s="107">
        <f>K79-'[1]додаток сесія_1901_решение'!K88</f>
        <v>0</v>
      </c>
      <c r="L254" s="107">
        <f>L79-'[1]додаток сесія_1901_решение'!L88</f>
        <v>0</v>
      </c>
      <c r="M254" s="107">
        <f>M79-'[1]додаток сесія_1901_решение'!M88</f>
        <v>0</v>
      </c>
      <c r="N254" s="107">
        <f>N79-'[1]додаток сесія_1901_решение'!N88</f>
        <v>0</v>
      </c>
      <c r="O254" s="107"/>
      <c r="P254" s="107"/>
      <c r="Q254" s="107"/>
      <c r="R254" s="107"/>
      <c r="S254" s="107"/>
      <c r="T254" s="107"/>
      <c r="U254" s="107">
        <f>U79-'[1]додаток сесія_1901_решение'!O88</f>
        <v>7422633.6821300006</v>
      </c>
      <c r="W254" s="16"/>
    </row>
    <row r="255" spans="1:23" x14ac:dyDescent="0.2">
      <c r="G255" s="107">
        <f>G79-'[1]додаток сесія_1901_решение'!G88</f>
        <v>0</v>
      </c>
      <c r="H255" s="107">
        <f>H79-'[1]додаток сесія_1901_решение'!H88</f>
        <v>0</v>
      </c>
      <c r="I255" s="107">
        <f>I79-'[1]додаток сесія_1901_решение'!I88</f>
        <v>0</v>
      </c>
      <c r="J255" s="107">
        <f>J79-'[1]додаток сесія_1901_решение'!J88</f>
        <v>0</v>
      </c>
      <c r="K255" s="107">
        <f>K79-'[1]додаток сесія_1901_решение'!K88</f>
        <v>0</v>
      </c>
      <c r="L255" s="107">
        <f>L79-'[1]додаток сесія_1901_решение'!L88</f>
        <v>0</v>
      </c>
      <c r="M255" s="107">
        <f>M79-'[1]додаток сесія_1901_решение'!M88</f>
        <v>0</v>
      </c>
      <c r="N255" s="107">
        <f>N79-'[1]додаток сесія_1901_решение'!N88</f>
        <v>0</v>
      </c>
      <c r="O255" s="107"/>
      <c r="P255" s="107"/>
      <c r="Q255" s="107"/>
      <c r="R255" s="107"/>
      <c r="S255" s="107"/>
      <c r="T255" s="107"/>
      <c r="U255" s="107">
        <f>U79-'[1]додаток сесія_1901_решение'!O88</f>
        <v>7422633.6821300006</v>
      </c>
      <c r="W255" s="16"/>
    </row>
    <row r="256" spans="1:23" x14ac:dyDescent="0.2">
      <c r="G256" s="107">
        <f>G216-'[1]додаток сесія_1901_решение'!G212</f>
        <v>0</v>
      </c>
      <c r="H256" s="107">
        <f>H216-'[1]додаток сесія_1901_решение'!H212</f>
        <v>0</v>
      </c>
      <c r="I256" s="107">
        <f>I216-'[1]додаток сесія_1901_решение'!I212</f>
        <v>0</v>
      </c>
      <c r="J256" s="107">
        <f>J216-'[1]додаток сесія_1901_решение'!J212</f>
        <v>0</v>
      </c>
      <c r="K256" s="107">
        <f>K216-'[1]додаток сесія_1901_решение'!K212</f>
        <v>0</v>
      </c>
      <c r="L256" s="107">
        <f>L216-'[1]додаток сесія_1901_решение'!L212</f>
        <v>0</v>
      </c>
      <c r="M256" s="107">
        <f>M216-'[1]додаток сесія_1901_решение'!M212</f>
        <v>0</v>
      </c>
      <c r="N256" s="107">
        <f>N216-'[1]додаток сесія_1901_решение'!N212</f>
        <v>0</v>
      </c>
      <c r="O256" s="107"/>
      <c r="P256" s="107"/>
      <c r="Q256" s="107"/>
      <c r="R256" s="107"/>
      <c r="S256" s="107"/>
      <c r="T256" s="107"/>
      <c r="U256" s="107">
        <f>U216-'[1]додаток сесія_1901_решение'!O212</f>
        <v>6250225.7986877356</v>
      </c>
      <c r="W256" s="16"/>
    </row>
    <row r="257" spans="7:23" x14ac:dyDescent="0.2">
      <c r="G257" s="107">
        <f>G233-'[1]додаток сесія_1901_решение'!G234</f>
        <v>0</v>
      </c>
      <c r="H257" s="107">
        <f>H233-'[1]додаток сесія_1901_решение'!H234</f>
        <v>0</v>
      </c>
      <c r="I257" s="107">
        <f>I233-'[1]додаток сесія_1901_решение'!I234</f>
        <v>0</v>
      </c>
      <c r="J257" s="107">
        <f>J233-'[1]додаток сесія_1901_решение'!J234</f>
        <v>0</v>
      </c>
      <c r="K257" s="107">
        <f>K233-'[1]додаток сесія_1901_решение'!K234</f>
        <v>0</v>
      </c>
      <c r="L257" s="107">
        <f>L233-'[1]додаток сесія_1901_решение'!L234</f>
        <v>0</v>
      </c>
      <c r="M257" s="107">
        <f>M233-'[1]додаток сесія_1901_решение'!M234</f>
        <v>0</v>
      </c>
      <c r="N257" s="107">
        <f>N233-'[1]додаток сесія_1901_решение'!N234</f>
        <v>-2.0000000004074536E-3</v>
      </c>
      <c r="O257" s="107"/>
      <c r="P257" s="107"/>
      <c r="Q257" s="107"/>
      <c r="R257" s="107"/>
      <c r="S257" s="107"/>
      <c r="T257" s="107"/>
      <c r="U257" s="107">
        <f>U233-'[1]додаток сесія_1901_решение'!O234</f>
        <v>-2.0000000076834112E-3</v>
      </c>
      <c r="W257" s="16"/>
    </row>
    <row r="258" spans="7:23" x14ac:dyDescent="0.2">
      <c r="W258" s="16"/>
    </row>
    <row r="259" spans="7:23" x14ac:dyDescent="0.2">
      <c r="G259" s="107">
        <f>G79-'[1]додаток сесія_актуальна'!G91</f>
        <v>0</v>
      </c>
      <c r="H259" s="107">
        <f>H79-'[1]додаток сесія_актуальна'!H91</f>
        <v>0</v>
      </c>
      <c r="I259" s="107">
        <f>I79-'[1]додаток сесія_актуальна'!I91</f>
        <v>0</v>
      </c>
      <c r="J259" s="107">
        <f>J79-'[1]додаток сесія_актуальна'!J91</f>
        <v>0</v>
      </c>
      <c r="K259" s="107">
        <f>K79-'[1]додаток сесія_актуальна'!K91</f>
        <v>0</v>
      </c>
      <c r="L259" s="107">
        <f>L79-'[1]додаток сесія_актуальна'!L91</f>
        <v>0</v>
      </c>
      <c r="M259" s="107">
        <f>M79-'[1]додаток сесія_актуальна'!M91</f>
        <v>0</v>
      </c>
      <c r="N259" s="107">
        <f>N79-'[1]додаток сесія_актуальна'!N91</f>
        <v>0</v>
      </c>
      <c r="O259" s="107"/>
      <c r="P259" s="107"/>
      <c r="Q259" s="107"/>
      <c r="R259" s="107"/>
      <c r="S259" s="107"/>
      <c r="T259" s="107"/>
      <c r="U259" s="107">
        <f>U79-'[1]додаток сесія_актуальна'!O91</f>
        <v>7422633.6821300006</v>
      </c>
      <c r="W259" s="16"/>
    </row>
    <row r="260" spans="7:23" x14ac:dyDescent="0.2">
      <c r="G260" s="107">
        <f>G216-'[1]додаток сесія_актуальна'!G219</f>
        <v>0</v>
      </c>
      <c r="H260" s="107">
        <f>H216-'[1]додаток сесія_актуальна'!H219</f>
        <v>0</v>
      </c>
      <c r="I260" s="107">
        <f>I216-'[1]додаток сесія_актуальна'!I219</f>
        <v>0</v>
      </c>
      <c r="J260" s="107">
        <f>J216-'[1]додаток сесія_актуальна'!J219</f>
        <v>0</v>
      </c>
      <c r="K260" s="107">
        <f>K216-'[1]додаток сесія_актуальна'!K219</f>
        <v>0</v>
      </c>
      <c r="L260" s="107">
        <f>L216-'[1]додаток сесія_актуальна'!L219</f>
        <v>0</v>
      </c>
      <c r="M260" s="107">
        <f>M216-'[1]додаток сесія_актуальна'!M219</f>
        <v>0</v>
      </c>
      <c r="N260" s="107">
        <f>N216-'[1]додаток сесія_актуальна'!N219</f>
        <v>0</v>
      </c>
      <c r="O260" s="107"/>
      <c r="P260" s="107"/>
      <c r="Q260" s="107"/>
      <c r="R260" s="107"/>
      <c r="S260" s="107"/>
      <c r="T260" s="107"/>
      <c r="U260" s="107">
        <f>U216-'[1]додаток сесія_актуальна'!O219</f>
        <v>6250225.7986877356</v>
      </c>
      <c r="W260" s="16"/>
    </row>
    <row r="261" spans="7:23" x14ac:dyDescent="0.2">
      <c r="W261" s="16"/>
    </row>
    <row r="262" spans="7:23" x14ac:dyDescent="0.2">
      <c r="G262" s="107">
        <f>G243-'[1]додаток сесія_актуальна'!G254</f>
        <v>0</v>
      </c>
      <c r="H262" s="107">
        <f>H243-'[1]додаток сесія_актуальна'!H254</f>
        <v>0</v>
      </c>
      <c r="I262" s="107">
        <f>I243-'[1]додаток сесія_актуальна'!I254</f>
        <v>0</v>
      </c>
      <c r="J262" s="107">
        <f>J243-'[1]додаток сесія_актуальна'!J254</f>
        <v>0</v>
      </c>
      <c r="K262" s="107">
        <f>K243-'[1]додаток сесія_актуальна'!K254</f>
        <v>0</v>
      </c>
      <c r="L262" s="107">
        <f>L243-'[1]додаток сесія_актуальна'!L254</f>
        <v>0</v>
      </c>
      <c r="M262" s="107">
        <f>M243-'[1]додаток сесія_актуальна'!M254</f>
        <v>0</v>
      </c>
      <c r="N262" s="107">
        <f>N243-'[1]додаток сесія_актуальна'!N254</f>
        <v>0</v>
      </c>
      <c r="O262" s="107"/>
      <c r="P262" s="107"/>
      <c r="Q262" s="107"/>
      <c r="R262" s="107"/>
      <c r="S262" s="107"/>
      <c r="T262" s="107"/>
      <c r="U262" s="107">
        <f>G243+H243+I243+J243+K243+L243+M243+N243-'[1]додаток сесія_актуальна'!O254</f>
        <v>0</v>
      </c>
    </row>
    <row r="264" spans="7:23" x14ac:dyDescent="0.2">
      <c r="G264" s="107">
        <f t="shared" ref="G264:U264" si="19">SUM(G12:G242)-G39-G79-G216-G233-G238-G242</f>
        <v>254461.71999999994</v>
      </c>
      <c r="H264" s="107">
        <f t="shared" si="19"/>
        <v>419562.19999999995</v>
      </c>
      <c r="I264" s="107">
        <f t="shared" si="19"/>
        <v>461134.5</v>
      </c>
      <c r="J264" s="107">
        <f t="shared" si="19"/>
        <v>614158.4</v>
      </c>
      <c r="K264" s="107">
        <f t="shared" si="19"/>
        <v>910764.79</v>
      </c>
      <c r="L264" s="107">
        <f t="shared" si="19"/>
        <v>2006163.3999999997</v>
      </c>
      <c r="M264" s="107">
        <f t="shared" si="19"/>
        <v>2130497.2000000007</v>
      </c>
      <c r="N264" s="107">
        <f t="shared" si="19"/>
        <v>2120341.8979999986</v>
      </c>
      <c r="O264" s="107">
        <f t="shared" ref="O264" si="20">SUM(O12:O242)-O39-O79-O216-O233-O238-O242</f>
        <v>8917084.1080000028</v>
      </c>
      <c r="P264" s="107">
        <f t="shared" si="19"/>
        <v>1849038.2861400002</v>
      </c>
      <c r="Q264" s="107">
        <f t="shared" si="19"/>
        <v>2907043.7037399998</v>
      </c>
      <c r="R264" s="107">
        <f t="shared" si="19"/>
        <v>2684521.9948200006</v>
      </c>
      <c r="S264" s="107">
        <f t="shared" si="19"/>
        <v>2950088.7464736402</v>
      </c>
      <c r="T264" s="107">
        <f t="shared" si="19"/>
        <v>3282699.7496440904</v>
      </c>
      <c r="U264" s="107">
        <f t="shared" si="19"/>
        <v>22590476.588817738</v>
      </c>
    </row>
    <row r="265" spans="7:23" x14ac:dyDescent="0.2">
      <c r="G265" s="107">
        <f t="shared" ref="G265:I265" si="21">G264-G243</f>
        <v>0</v>
      </c>
      <c r="H265" s="107">
        <f t="shared" si="21"/>
        <v>0</v>
      </c>
      <c r="I265" s="107">
        <f t="shared" si="21"/>
        <v>0</v>
      </c>
      <c r="J265" s="107">
        <f>J264-J243</f>
        <v>0</v>
      </c>
      <c r="K265" s="107">
        <f t="shared" ref="K265:U265" si="22">K264-K243</f>
        <v>0</v>
      </c>
      <c r="L265" s="107">
        <f t="shared" si="22"/>
        <v>0</v>
      </c>
      <c r="M265" s="107">
        <f t="shared" si="22"/>
        <v>0</v>
      </c>
      <c r="N265" s="107">
        <f t="shared" si="22"/>
        <v>0</v>
      </c>
      <c r="O265" s="107">
        <f t="shared" si="22"/>
        <v>0</v>
      </c>
      <c r="P265" s="107">
        <f t="shared" si="22"/>
        <v>0</v>
      </c>
      <c r="Q265" s="107">
        <f t="shared" si="22"/>
        <v>0</v>
      </c>
      <c r="R265" s="107">
        <f t="shared" si="22"/>
        <v>0</v>
      </c>
      <c r="S265" s="107">
        <f t="shared" si="22"/>
        <v>0</v>
      </c>
      <c r="T265" s="107">
        <f t="shared" si="22"/>
        <v>0</v>
      </c>
      <c r="U265" s="107">
        <f t="shared" si="22"/>
        <v>0</v>
      </c>
    </row>
    <row r="266" spans="7:23" x14ac:dyDescent="0.2">
      <c r="G266" s="107">
        <f>G243-'[1]додаток сесія_актуальна'!G254</f>
        <v>0</v>
      </c>
      <c r="H266" s="107">
        <f>H243-'[1]додаток сесія_актуальна'!H254</f>
        <v>0</v>
      </c>
      <c r="I266" s="107">
        <f>I243-'[1]додаток сесія_актуальна'!I254</f>
        <v>0</v>
      </c>
      <c r="J266" s="107">
        <f>J243-'[1]додаток сесія_актуальна'!J254</f>
        <v>0</v>
      </c>
      <c r="K266" s="107">
        <f>K243-'[1]додаток сесія_актуальна'!K254</f>
        <v>0</v>
      </c>
      <c r="L266" s="107">
        <f>L243-'[1]додаток сесія_актуальна'!L254</f>
        <v>0</v>
      </c>
      <c r="M266" s="107">
        <f>M243-'[1]додаток сесія_актуальна'!M254</f>
        <v>0</v>
      </c>
      <c r="N266" s="107">
        <f>N243-'[1]додаток сесія_актуальна'!N254</f>
        <v>0</v>
      </c>
      <c r="O266" s="107">
        <f>O243-'[1]додаток сесія_актуальна'!O254</f>
        <v>0</v>
      </c>
    </row>
    <row r="267" spans="7:23" x14ac:dyDescent="0.2">
      <c r="G267" s="107">
        <f>G243-[1]проверкаЗагсум!G23</f>
        <v>0</v>
      </c>
      <c r="H267" s="107">
        <f>H243-[1]проверкаЗагсум!H23</f>
        <v>0</v>
      </c>
      <c r="I267" s="107">
        <f>I243-[1]проверкаЗагсум!I23</f>
        <v>0</v>
      </c>
      <c r="J267" s="107">
        <f>J243-[1]проверкаЗагсум!J23</f>
        <v>0</v>
      </c>
      <c r="K267" s="107">
        <f>K243-[1]проверкаЗагсум!K23</f>
        <v>0</v>
      </c>
      <c r="L267" s="107">
        <f>L243-[1]проверкаЗагсум!L23</f>
        <v>0</v>
      </c>
      <c r="M267" s="107">
        <f>M243-[1]проверкаЗагсум!M23</f>
        <v>0</v>
      </c>
      <c r="N267" s="107">
        <f>N243-[1]проверкаЗагсум!N23</f>
        <v>0</v>
      </c>
      <c r="O267" s="107"/>
      <c r="P267" s="107">
        <f>P243-[1]проверкаЗагсум!O23</f>
        <v>0</v>
      </c>
      <c r="Q267" s="107">
        <f>Q243-[1]проверкаЗагсум!P23</f>
        <v>0</v>
      </c>
      <c r="R267" s="107">
        <f>R243-[1]проверкаЗагсум!Q23</f>
        <v>0</v>
      </c>
      <c r="S267" s="107">
        <f>S243-[1]проверкаЗагсум!R23</f>
        <v>0</v>
      </c>
      <c r="T267" s="107">
        <f>T243-[1]проверкаЗагсум!S23</f>
        <v>0</v>
      </c>
      <c r="U267" s="107">
        <f>U243-[1]проверкаЗагсум!T23</f>
        <v>0</v>
      </c>
    </row>
  </sheetData>
  <sheetProtection selectLockedCells="1" selectUnlockedCells="1"/>
  <mergeCells count="49">
    <mergeCell ref="R1:S1"/>
    <mergeCell ref="L3:U3"/>
    <mergeCell ref="M4:U4"/>
    <mergeCell ref="A5:U5"/>
    <mergeCell ref="A7:A10"/>
    <mergeCell ref="B7:B10"/>
    <mergeCell ref="C7:C10"/>
    <mergeCell ref="D7:D10"/>
    <mergeCell ref="E7:E10"/>
    <mergeCell ref="F7:F10"/>
    <mergeCell ref="G7:U8"/>
    <mergeCell ref="G9:G10"/>
    <mergeCell ref="H9:H10"/>
    <mergeCell ref="I9:I10"/>
    <mergeCell ref="J9:J10"/>
    <mergeCell ref="K9:K10"/>
    <mergeCell ref="R9:R10"/>
    <mergeCell ref="S9:S10"/>
    <mergeCell ref="T9:T10"/>
    <mergeCell ref="U9:U10"/>
    <mergeCell ref="A35:A38"/>
    <mergeCell ref="L9:L10"/>
    <mergeCell ref="M9:M10"/>
    <mergeCell ref="N9:N10"/>
    <mergeCell ref="O9:O10"/>
    <mergeCell ref="Q9:Q10"/>
    <mergeCell ref="A59:A60"/>
    <mergeCell ref="B67:B69"/>
    <mergeCell ref="A68:A69"/>
    <mergeCell ref="P9:P10"/>
    <mergeCell ref="B217:B221"/>
    <mergeCell ref="E217:E220"/>
    <mergeCell ref="E221:E222"/>
    <mergeCell ref="B12:B13"/>
    <mergeCell ref="E12:E18"/>
    <mergeCell ref="A79:B79"/>
    <mergeCell ref="B80:B83"/>
    <mergeCell ref="E80:E81"/>
    <mergeCell ref="A216:B216"/>
    <mergeCell ref="C216:E216"/>
    <mergeCell ref="A243:B243"/>
    <mergeCell ref="B245:U245"/>
    <mergeCell ref="B247:K247"/>
    <mergeCell ref="A233:B233"/>
    <mergeCell ref="A238:B238"/>
    <mergeCell ref="C238:E238"/>
    <mergeCell ref="E240:E241"/>
    <mergeCell ref="A242:B242"/>
    <mergeCell ref="C242:E242"/>
  </mergeCells>
  <printOptions horizontalCentered="1"/>
  <pageMargins left="0.39370078740157483" right="0.39370078740157483" top="0.59055118110236227" bottom="0.39370078740157483" header="0.43307086614173229" footer="0"/>
  <pageSetup paperSize="9" scale="61" firstPageNumber="0" fitToHeight="17" orientation="landscape" r:id="rId1"/>
  <headerFooter differentFirst="1">
    <oddHeader>&amp;C&amp;"Times New Roman,обычный"&amp;12&amp;P&amp;R&amp;"Times New Roman,курсив"&amp;12Продовження додатка 2</oddHeader>
  </headerFooter>
  <rowBreaks count="2" manualBreakCount="2">
    <brk id="63" max="20" man="1"/>
    <brk id="79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8"/>
  <sheetViews>
    <sheetView view="pageBreakPreview" topLeftCell="A4" zoomScale="85" zoomScaleNormal="100" zoomScaleSheetLayoutView="85" workbookViewId="0">
      <selection activeCell="G260" sqref="G260"/>
    </sheetView>
  </sheetViews>
  <sheetFormatPr defaultRowHeight="12.75" x14ac:dyDescent="0.2"/>
  <cols>
    <col min="1" max="1" width="5.85546875" style="1" customWidth="1"/>
    <col min="2" max="2" width="18.42578125" style="1" customWidth="1"/>
    <col min="3" max="3" width="34.7109375" style="1" customWidth="1"/>
    <col min="4" max="4" width="6.42578125" style="1" customWidth="1"/>
    <col min="5" max="5" width="17.5703125" style="1" customWidth="1"/>
    <col min="6" max="6" width="16.85546875" style="1" customWidth="1"/>
    <col min="7" max="7" width="13.5703125" style="1" customWidth="1"/>
    <col min="8" max="8" width="13.85546875" style="1" customWidth="1"/>
    <col min="9" max="9" width="13.7109375" style="1" customWidth="1"/>
    <col min="10" max="10" width="14.140625" style="1" customWidth="1"/>
    <col min="11" max="11" width="14.5703125" style="1" customWidth="1"/>
    <col min="12" max="12" width="15.42578125" style="1" customWidth="1"/>
    <col min="13" max="13" width="15.140625" style="1" customWidth="1"/>
    <col min="14" max="14" width="15.7109375" style="1" customWidth="1"/>
    <col min="15" max="15" width="16.5703125" style="1" customWidth="1"/>
    <col min="16" max="16384" width="9.140625" style="1"/>
  </cols>
  <sheetData>
    <row r="1" spans="1:15" ht="21.75" customHeight="1" x14ac:dyDescent="0.3">
      <c r="K1" s="3"/>
    </row>
    <row r="2" spans="1:15" ht="21.75" customHeight="1" x14ac:dyDescent="0.2">
      <c r="A2" s="4"/>
      <c r="B2" s="4"/>
      <c r="C2" s="4"/>
      <c r="D2" s="4"/>
      <c r="E2" s="4"/>
      <c r="F2" s="4"/>
      <c r="G2" s="4"/>
      <c r="H2" s="4"/>
      <c r="I2" s="6"/>
      <c r="J2" s="664" t="s">
        <v>244</v>
      </c>
      <c r="K2" s="664"/>
      <c r="L2" s="664"/>
      <c r="M2" s="664"/>
      <c r="N2" s="664"/>
      <c r="O2" s="664"/>
    </row>
    <row r="3" spans="1:15" ht="15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665" t="s">
        <v>245</v>
      </c>
      <c r="K3" s="665"/>
      <c r="L3" s="665"/>
      <c r="M3" s="665"/>
      <c r="N3" s="665"/>
      <c r="O3" s="665"/>
    </row>
    <row r="4" spans="1:15" ht="15.75" customHeight="1" x14ac:dyDescent="0.3">
      <c r="A4" s="4"/>
      <c r="B4" s="4"/>
      <c r="C4" s="4"/>
      <c r="D4" s="4"/>
      <c r="E4" s="4"/>
      <c r="F4" s="4"/>
      <c r="G4" s="4"/>
      <c r="H4" s="4"/>
      <c r="I4" s="4"/>
      <c r="J4" s="192"/>
      <c r="K4" s="192"/>
      <c r="L4" s="665" t="s">
        <v>246</v>
      </c>
      <c r="M4" s="666"/>
      <c r="N4" s="666"/>
      <c r="O4" s="666"/>
    </row>
    <row r="5" spans="1:15" ht="15.75" customHeight="1" x14ac:dyDescent="0.3">
      <c r="A5" s="4"/>
      <c r="B5" s="4"/>
      <c r="C5" s="4"/>
      <c r="D5" s="4"/>
      <c r="E5" s="4"/>
      <c r="F5" s="4"/>
      <c r="G5" s="4"/>
      <c r="H5" s="4"/>
      <c r="I5" s="4"/>
      <c r="J5" s="8"/>
      <c r="K5" s="8"/>
      <c r="L5" s="8"/>
      <c r="M5" s="554"/>
      <c r="N5" s="555"/>
      <c r="O5" s="555"/>
    </row>
    <row r="6" spans="1:15" ht="21.75" customHeight="1" x14ac:dyDescent="0.35">
      <c r="A6" s="637" t="s">
        <v>247</v>
      </c>
      <c r="B6" s="637"/>
      <c r="C6" s="637"/>
      <c r="D6" s="637"/>
      <c r="E6" s="637"/>
      <c r="F6" s="637"/>
      <c r="G6" s="637"/>
      <c r="H6" s="637"/>
      <c r="I6" s="637"/>
      <c r="J6" s="637"/>
      <c r="K6" s="637"/>
      <c r="L6" s="637"/>
      <c r="M6" s="637"/>
      <c r="N6" s="637"/>
      <c r="O6" s="637"/>
    </row>
    <row r="8" spans="1:15" ht="12.75" customHeight="1" x14ac:dyDescent="0.2">
      <c r="A8" s="623" t="s">
        <v>1</v>
      </c>
      <c r="B8" s="623" t="s">
        <v>2</v>
      </c>
      <c r="C8" s="623" t="s">
        <v>3</v>
      </c>
      <c r="D8" s="623" t="s">
        <v>4</v>
      </c>
      <c r="E8" s="623" t="s">
        <v>5</v>
      </c>
      <c r="F8" s="623" t="s">
        <v>6</v>
      </c>
      <c r="G8" s="623" t="s">
        <v>7</v>
      </c>
      <c r="H8" s="623"/>
      <c r="I8" s="623"/>
      <c r="J8" s="623"/>
      <c r="K8" s="623"/>
      <c r="L8" s="623"/>
      <c r="M8" s="623"/>
      <c r="N8" s="623"/>
      <c r="O8" s="623"/>
    </row>
    <row r="9" spans="1:15" x14ac:dyDescent="0.2">
      <c r="A9" s="623"/>
      <c r="B9" s="623"/>
      <c r="C9" s="623"/>
      <c r="D9" s="623"/>
      <c r="E9" s="623"/>
      <c r="F9" s="623"/>
      <c r="G9" s="623"/>
      <c r="H9" s="623"/>
      <c r="I9" s="623"/>
      <c r="J9" s="623"/>
      <c r="K9" s="623"/>
      <c r="L9" s="623"/>
      <c r="M9" s="623"/>
      <c r="N9" s="623"/>
      <c r="O9" s="623"/>
    </row>
    <row r="10" spans="1:15" ht="12.75" customHeight="1" x14ac:dyDescent="0.2">
      <c r="A10" s="623"/>
      <c r="B10" s="623"/>
      <c r="C10" s="623"/>
      <c r="D10" s="623"/>
      <c r="E10" s="623"/>
      <c r="F10" s="623"/>
      <c r="G10" s="623">
        <v>2016</v>
      </c>
      <c r="H10" s="623">
        <v>2017</v>
      </c>
      <c r="I10" s="623">
        <v>2018</v>
      </c>
      <c r="J10" s="623">
        <v>2019</v>
      </c>
      <c r="K10" s="623">
        <v>2020</v>
      </c>
      <c r="L10" s="623">
        <v>2021</v>
      </c>
      <c r="M10" s="623">
        <v>2022</v>
      </c>
      <c r="N10" s="623">
        <v>2023</v>
      </c>
      <c r="O10" s="623" t="s">
        <v>8</v>
      </c>
    </row>
    <row r="11" spans="1:15" ht="11.25" customHeight="1" x14ac:dyDescent="0.2">
      <c r="A11" s="623"/>
      <c r="B11" s="623"/>
      <c r="C11" s="623"/>
      <c r="D11" s="623"/>
      <c r="E11" s="623"/>
      <c r="F11" s="623"/>
      <c r="G11" s="623"/>
      <c r="H11" s="623"/>
      <c r="I11" s="623"/>
      <c r="J11" s="623"/>
      <c r="K11" s="623"/>
      <c r="L11" s="623"/>
      <c r="M11" s="623"/>
      <c r="N11" s="623"/>
      <c r="O11" s="623"/>
    </row>
    <row r="12" spans="1:15" ht="15.75" customHeight="1" x14ac:dyDescent="0.2">
      <c r="A12" s="193">
        <v>1</v>
      </c>
      <c r="B12" s="193">
        <v>2</v>
      </c>
      <c r="C12" s="193">
        <v>3</v>
      </c>
      <c r="D12" s="193">
        <v>4</v>
      </c>
      <c r="E12" s="193">
        <v>5</v>
      </c>
      <c r="F12" s="193">
        <v>6</v>
      </c>
      <c r="G12" s="193">
        <v>7</v>
      </c>
      <c r="H12" s="193">
        <v>8</v>
      </c>
      <c r="I12" s="193">
        <v>9</v>
      </c>
      <c r="J12" s="193">
        <v>10</v>
      </c>
      <c r="K12" s="193">
        <v>11</v>
      </c>
      <c r="L12" s="193">
        <v>12</v>
      </c>
      <c r="M12" s="193">
        <v>13</v>
      </c>
      <c r="N12" s="193">
        <v>14</v>
      </c>
      <c r="O12" s="193">
        <v>15</v>
      </c>
    </row>
    <row r="13" spans="1:15" ht="83.25" customHeight="1" x14ac:dyDescent="0.2">
      <c r="A13" s="194">
        <v>1</v>
      </c>
      <c r="B13" s="591" t="s">
        <v>9</v>
      </c>
      <c r="C13" s="195" t="s">
        <v>248</v>
      </c>
      <c r="D13" s="160" t="s">
        <v>11</v>
      </c>
      <c r="E13" s="661" t="s">
        <v>12</v>
      </c>
      <c r="F13" s="160" t="s">
        <v>13</v>
      </c>
      <c r="G13" s="196">
        <v>73702.679999999993</v>
      </c>
      <c r="H13" s="196">
        <f>94537.8+830</f>
        <v>95367.8</v>
      </c>
      <c r="I13" s="196">
        <v>114042.5</v>
      </c>
      <c r="J13" s="196">
        <v>143546.20000000001</v>
      </c>
      <c r="K13" s="196">
        <v>227890.4</v>
      </c>
      <c r="L13" s="196">
        <f>59251.7+11539-1500+103.7+3900</f>
        <v>73294.399999999994</v>
      </c>
      <c r="M13" s="196">
        <v>0</v>
      </c>
      <c r="N13" s="196">
        <v>0</v>
      </c>
      <c r="O13" s="196">
        <f>SUM(G13:N13)</f>
        <v>727843.98</v>
      </c>
    </row>
    <row r="14" spans="1:15" ht="34.5" hidden="1" customHeight="1" x14ac:dyDescent="0.2">
      <c r="A14" s="197"/>
      <c r="B14" s="592"/>
      <c r="C14" s="195"/>
      <c r="D14" s="160"/>
      <c r="E14" s="662"/>
      <c r="F14" s="160"/>
      <c r="G14" s="196"/>
      <c r="H14" s="196"/>
      <c r="I14" s="196"/>
      <c r="J14" s="196"/>
      <c r="K14" s="196"/>
      <c r="L14" s="196"/>
      <c r="M14" s="196"/>
      <c r="N14" s="196"/>
      <c r="O14" s="196"/>
    </row>
    <row r="15" spans="1:15" ht="34.5" hidden="1" customHeight="1" x14ac:dyDescent="0.2">
      <c r="A15" s="197"/>
      <c r="B15" s="592"/>
      <c r="C15" s="195"/>
      <c r="D15" s="160"/>
      <c r="E15" s="662"/>
      <c r="F15" s="160"/>
      <c r="G15" s="196"/>
      <c r="H15" s="196"/>
      <c r="I15" s="196"/>
      <c r="J15" s="196"/>
      <c r="K15" s="196"/>
      <c r="L15" s="196"/>
      <c r="M15" s="196"/>
      <c r="N15" s="196"/>
      <c r="O15" s="196"/>
    </row>
    <row r="16" spans="1:15" ht="195" customHeight="1" x14ac:dyDescent="0.2">
      <c r="A16" s="197"/>
      <c r="B16" s="592"/>
      <c r="C16" s="198" t="s">
        <v>14</v>
      </c>
      <c r="D16" s="199" t="s">
        <v>29</v>
      </c>
      <c r="E16" s="662"/>
      <c r="F16" s="160" t="s">
        <v>13</v>
      </c>
      <c r="G16" s="196">
        <v>9960</v>
      </c>
      <c r="H16" s="196">
        <v>9960</v>
      </c>
      <c r="I16" s="196">
        <v>400</v>
      </c>
      <c r="J16" s="196">
        <v>2102.1999999999998</v>
      </c>
      <c r="K16" s="196">
        <v>20800</v>
      </c>
      <c r="L16" s="196">
        <v>0</v>
      </c>
      <c r="M16" s="196">
        <v>0</v>
      </c>
      <c r="N16" s="196">
        <f>0+5200</f>
        <v>5200</v>
      </c>
      <c r="O16" s="196">
        <f t="shared" ref="O16:O85" si="0">SUM(G16:N16)</f>
        <v>48422.2</v>
      </c>
    </row>
    <row r="17" spans="1:15" ht="72.75" customHeight="1" x14ac:dyDescent="0.2">
      <c r="A17" s="197"/>
      <c r="B17" s="200"/>
      <c r="C17" s="201" t="s">
        <v>249</v>
      </c>
      <c r="D17" s="160" t="s">
        <v>29</v>
      </c>
      <c r="E17" s="662"/>
      <c r="F17" s="160" t="s">
        <v>13</v>
      </c>
      <c r="G17" s="196">
        <v>17132.7</v>
      </c>
      <c r="H17" s="202">
        <v>15000</v>
      </c>
      <c r="I17" s="202">
        <v>8150</v>
      </c>
      <c r="J17" s="202">
        <v>7800</v>
      </c>
      <c r="K17" s="202">
        <v>13000</v>
      </c>
      <c r="L17" s="202">
        <v>12500</v>
      </c>
      <c r="M17" s="202">
        <v>13750</v>
      </c>
      <c r="N17" s="202">
        <f>15125-5200</f>
        <v>9925</v>
      </c>
      <c r="O17" s="196">
        <f t="shared" si="0"/>
        <v>97257.7</v>
      </c>
    </row>
    <row r="18" spans="1:15" ht="72" customHeight="1" x14ac:dyDescent="0.2">
      <c r="A18" s="197"/>
      <c r="B18" s="200"/>
      <c r="C18" s="201" t="s">
        <v>250</v>
      </c>
      <c r="D18" s="160" t="s">
        <v>18</v>
      </c>
      <c r="E18" s="662"/>
      <c r="F18" s="160" t="s">
        <v>13</v>
      </c>
      <c r="G18" s="196">
        <v>100</v>
      </c>
      <c r="H18" s="202">
        <v>0</v>
      </c>
      <c r="I18" s="202">
        <v>0</v>
      </c>
      <c r="J18" s="202">
        <v>0</v>
      </c>
      <c r="K18" s="202">
        <v>0</v>
      </c>
      <c r="L18" s="202">
        <v>0</v>
      </c>
      <c r="M18" s="202">
        <v>0</v>
      </c>
      <c r="N18" s="202">
        <v>0</v>
      </c>
      <c r="O18" s="196">
        <f t="shared" si="0"/>
        <v>100</v>
      </c>
    </row>
    <row r="19" spans="1:15" ht="71.25" customHeight="1" x14ac:dyDescent="0.2">
      <c r="A19" s="197"/>
      <c r="B19" s="200"/>
      <c r="C19" s="201" t="s">
        <v>19</v>
      </c>
      <c r="D19" s="160" t="s">
        <v>18</v>
      </c>
      <c r="E19" s="662"/>
      <c r="F19" s="160" t="s">
        <v>13</v>
      </c>
      <c r="G19" s="196">
        <v>290</v>
      </c>
      <c r="H19" s="202">
        <v>0</v>
      </c>
      <c r="I19" s="202">
        <v>0</v>
      </c>
      <c r="J19" s="202">
        <v>0</v>
      </c>
      <c r="K19" s="202">
        <v>0</v>
      </c>
      <c r="L19" s="202">
        <v>0</v>
      </c>
      <c r="M19" s="202">
        <v>0</v>
      </c>
      <c r="N19" s="202">
        <v>0</v>
      </c>
      <c r="O19" s="196">
        <f t="shared" si="0"/>
        <v>290</v>
      </c>
    </row>
    <row r="20" spans="1:15" ht="71.25" customHeight="1" x14ac:dyDescent="0.2">
      <c r="A20" s="197"/>
      <c r="B20" s="200"/>
      <c r="C20" s="201" t="s">
        <v>251</v>
      </c>
      <c r="D20" s="160" t="s">
        <v>18</v>
      </c>
      <c r="E20" s="662"/>
      <c r="F20" s="160" t="s">
        <v>13</v>
      </c>
      <c r="G20" s="196">
        <v>60</v>
      </c>
      <c r="H20" s="202">
        <v>0</v>
      </c>
      <c r="I20" s="202">
        <v>0</v>
      </c>
      <c r="J20" s="202">
        <v>0</v>
      </c>
      <c r="K20" s="202">
        <v>0</v>
      </c>
      <c r="L20" s="202">
        <v>0</v>
      </c>
      <c r="M20" s="202">
        <v>0</v>
      </c>
      <c r="N20" s="202">
        <v>0</v>
      </c>
      <c r="O20" s="196">
        <f t="shared" si="0"/>
        <v>60</v>
      </c>
    </row>
    <row r="21" spans="1:15" ht="67.5" customHeight="1" x14ac:dyDescent="0.2">
      <c r="A21" s="197"/>
      <c r="B21" s="200"/>
      <c r="C21" s="201" t="s">
        <v>252</v>
      </c>
      <c r="D21" s="160" t="s">
        <v>18</v>
      </c>
      <c r="E21" s="662"/>
      <c r="F21" s="160" t="s">
        <v>13</v>
      </c>
      <c r="G21" s="196">
        <v>100</v>
      </c>
      <c r="H21" s="202">
        <v>0</v>
      </c>
      <c r="I21" s="202">
        <v>0</v>
      </c>
      <c r="J21" s="202">
        <v>0</v>
      </c>
      <c r="K21" s="202">
        <v>0</v>
      </c>
      <c r="L21" s="202">
        <v>0</v>
      </c>
      <c r="M21" s="202">
        <v>0</v>
      </c>
      <c r="N21" s="202">
        <v>0</v>
      </c>
      <c r="O21" s="196">
        <f t="shared" si="0"/>
        <v>100</v>
      </c>
    </row>
    <row r="22" spans="1:15" ht="62.25" customHeight="1" x14ac:dyDescent="0.2">
      <c r="A22" s="197"/>
      <c r="B22" s="200"/>
      <c r="C22" s="201" t="s">
        <v>253</v>
      </c>
      <c r="D22" s="160" t="s">
        <v>29</v>
      </c>
      <c r="E22" s="203"/>
      <c r="F22" s="160" t="s">
        <v>13</v>
      </c>
      <c r="G22" s="202">
        <v>0</v>
      </c>
      <c r="H22" s="202">
        <v>3500</v>
      </c>
      <c r="I22" s="202">
        <v>1200</v>
      </c>
      <c r="J22" s="202">
        <v>20000</v>
      </c>
      <c r="K22" s="202">
        <v>12050</v>
      </c>
      <c r="L22" s="202">
        <v>15500</v>
      </c>
      <c r="M22" s="202">
        <v>3850</v>
      </c>
      <c r="N22" s="202">
        <v>4235</v>
      </c>
      <c r="O22" s="196">
        <f t="shared" si="0"/>
        <v>60335</v>
      </c>
    </row>
    <row r="23" spans="1:15" ht="69" customHeight="1" x14ac:dyDescent="0.2">
      <c r="A23" s="204"/>
      <c r="B23" s="205"/>
      <c r="C23" s="206" t="s">
        <v>254</v>
      </c>
      <c r="D23" s="207" t="s">
        <v>18</v>
      </c>
      <c r="E23" s="208"/>
      <c r="F23" s="160" t="s">
        <v>13</v>
      </c>
      <c r="G23" s="202">
        <v>0</v>
      </c>
      <c r="H23" s="202">
        <v>200</v>
      </c>
      <c r="I23" s="202">
        <v>0</v>
      </c>
      <c r="J23" s="202">
        <v>0</v>
      </c>
      <c r="K23" s="202">
        <v>0</v>
      </c>
      <c r="L23" s="202">
        <v>0</v>
      </c>
      <c r="M23" s="202">
        <v>0</v>
      </c>
      <c r="N23" s="202">
        <v>0</v>
      </c>
      <c r="O23" s="196">
        <f t="shared" si="0"/>
        <v>200</v>
      </c>
    </row>
    <row r="24" spans="1:15" ht="43.5" customHeight="1" x14ac:dyDescent="0.2">
      <c r="A24" s="640">
        <v>2</v>
      </c>
      <c r="B24" s="640"/>
      <c r="C24" s="640"/>
      <c r="D24" s="640"/>
      <c r="E24" s="640"/>
      <c r="F24" s="640"/>
      <c r="G24" s="640"/>
      <c r="H24" s="640"/>
      <c r="I24" s="640"/>
      <c r="J24" s="640"/>
      <c r="K24" s="640"/>
      <c r="L24" s="640"/>
      <c r="M24" s="640"/>
      <c r="N24" s="640"/>
      <c r="O24" s="640"/>
    </row>
    <row r="25" spans="1:15" ht="33" customHeight="1" x14ac:dyDescent="0.2">
      <c r="A25" s="642" t="s">
        <v>255</v>
      </c>
      <c r="B25" s="643"/>
      <c r="C25" s="643"/>
      <c r="D25" s="643"/>
      <c r="E25" s="643"/>
      <c r="F25" s="643"/>
      <c r="G25" s="643"/>
      <c r="H25" s="643"/>
      <c r="I25" s="643"/>
      <c r="J25" s="643"/>
      <c r="K25" s="643"/>
      <c r="L25" s="643"/>
      <c r="M25" s="643"/>
      <c r="N25" s="643"/>
      <c r="O25" s="643"/>
    </row>
    <row r="26" spans="1:15" ht="28.5" customHeight="1" x14ac:dyDescent="0.2">
      <c r="A26" s="209">
        <v>1</v>
      </c>
      <c r="B26" s="210">
        <v>2</v>
      </c>
      <c r="C26" s="211">
        <v>3</v>
      </c>
      <c r="D26" s="193">
        <v>4</v>
      </c>
      <c r="E26" s="193">
        <v>5</v>
      </c>
      <c r="F26" s="193">
        <v>6</v>
      </c>
      <c r="G26" s="193">
        <v>7</v>
      </c>
      <c r="H26" s="193">
        <v>8</v>
      </c>
      <c r="I26" s="193">
        <v>9</v>
      </c>
      <c r="J26" s="193">
        <v>10</v>
      </c>
      <c r="K26" s="193">
        <v>11</v>
      </c>
      <c r="L26" s="193">
        <v>12</v>
      </c>
      <c r="M26" s="193">
        <v>13</v>
      </c>
      <c r="N26" s="193">
        <v>14</v>
      </c>
      <c r="O26" s="193">
        <v>15</v>
      </c>
    </row>
    <row r="27" spans="1:15" ht="69.75" customHeight="1" x14ac:dyDescent="0.2">
      <c r="A27" s="197"/>
      <c r="B27" s="663"/>
      <c r="C27" s="212" t="s">
        <v>256</v>
      </c>
      <c r="D27" s="160" t="s">
        <v>18</v>
      </c>
      <c r="E27" s="213"/>
      <c r="F27" s="160" t="s">
        <v>13</v>
      </c>
      <c r="G27" s="202">
        <v>0</v>
      </c>
      <c r="H27" s="196">
        <v>60</v>
      </c>
      <c r="I27" s="202">
        <v>0</v>
      </c>
      <c r="J27" s="202">
        <v>0</v>
      </c>
      <c r="K27" s="202">
        <v>0</v>
      </c>
      <c r="L27" s="202">
        <v>0</v>
      </c>
      <c r="M27" s="202">
        <v>0</v>
      </c>
      <c r="N27" s="202">
        <v>0</v>
      </c>
      <c r="O27" s="196">
        <f t="shared" si="0"/>
        <v>60</v>
      </c>
    </row>
    <row r="28" spans="1:15" ht="73.5" customHeight="1" x14ac:dyDescent="0.2">
      <c r="A28" s="197"/>
      <c r="B28" s="575"/>
      <c r="C28" s="212" t="s">
        <v>25</v>
      </c>
      <c r="D28" s="160" t="s">
        <v>18</v>
      </c>
      <c r="E28" s="213"/>
      <c r="F28" s="160" t="s">
        <v>13</v>
      </c>
      <c r="G28" s="202">
        <v>0</v>
      </c>
      <c r="H28" s="196">
        <v>150</v>
      </c>
      <c r="I28" s="202">
        <v>0</v>
      </c>
      <c r="J28" s="202">
        <v>0</v>
      </c>
      <c r="K28" s="202">
        <v>0</v>
      </c>
      <c r="L28" s="202">
        <v>0</v>
      </c>
      <c r="M28" s="202">
        <v>0</v>
      </c>
      <c r="N28" s="202">
        <v>0</v>
      </c>
      <c r="O28" s="196">
        <f t="shared" si="0"/>
        <v>150</v>
      </c>
    </row>
    <row r="29" spans="1:15" ht="66.75" customHeight="1" x14ac:dyDescent="0.2">
      <c r="A29" s="197"/>
      <c r="B29" s="575"/>
      <c r="C29" s="212" t="s">
        <v>257</v>
      </c>
      <c r="D29" s="160" t="s">
        <v>18</v>
      </c>
      <c r="E29" s="213"/>
      <c r="F29" s="160" t="s">
        <v>13</v>
      </c>
      <c r="G29" s="202">
        <v>0</v>
      </c>
      <c r="H29" s="196">
        <v>150</v>
      </c>
      <c r="I29" s="202">
        <v>0</v>
      </c>
      <c r="J29" s="202">
        <v>0</v>
      </c>
      <c r="K29" s="202">
        <v>0</v>
      </c>
      <c r="L29" s="202">
        <v>0</v>
      </c>
      <c r="M29" s="202">
        <v>0</v>
      </c>
      <c r="N29" s="202">
        <v>0</v>
      </c>
      <c r="O29" s="196">
        <f t="shared" si="0"/>
        <v>150</v>
      </c>
    </row>
    <row r="30" spans="1:15" ht="84.75" customHeight="1" x14ac:dyDescent="0.2">
      <c r="A30" s="197"/>
      <c r="B30" s="130"/>
      <c r="C30" s="212" t="s">
        <v>258</v>
      </c>
      <c r="D30" s="160" t="s">
        <v>29</v>
      </c>
      <c r="E30" s="213"/>
      <c r="F30" s="160" t="s">
        <v>13</v>
      </c>
      <c r="G30" s="202">
        <v>0</v>
      </c>
      <c r="H30" s="196">
        <v>5500</v>
      </c>
      <c r="I30" s="196">
        <v>42900</v>
      </c>
      <c r="J30" s="196">
        <v>11871.2</v>
      </c>
      <c r="K30" s="196">
        <v>11940.3</v>
      </c>
      <c r="L30" s="196">
        <v>6000</v>
      </c>
      <c r="M30" s="196">
        <v>0</v>
      </c>
      <c r="N30" s="196">
        <v>0</v>
      </c>
      <c r="O30" s="196">
        <f t="shared" si="0"/>
        <v>78211.5</v>
      </c>
    </row>
    <row r="31" spans="1:15" ht="75" customHeight="1" x14ac:dyDescent="0.2">
      <c r="A31" s="197"/>
      <c r="B31" s="130"/>
      <c r="C31" s="214" t="s">
        <v>259</v>
      </c>
      <c r="D31" s="160" t="s">
        <v>29</v>
      </c>
      <c r="E31" s="213"/>
      <c r="F31" s="160" t="s">
        <v>13</v>
      </c>
      <c r="G31" s="196">
        <v>2000</v>
      </c>
      <c r="H31" s="196">
        <v>2000</v>
      </c>
      <c r="I31" s="196">
        <v>3250</v>
      </c>
      <c r="J31" s="196">
        <v>4600</v>
      </c>
      <c r="K31" s="196">
        <v>4000</v>
      </c>
      <c r="L31" s="196">
        <f>0+397.7</f>
        <v>397.7</v>
      </c>
      <c r="M31" s="196">
        <v>0</v>
      </c>
      <c r="N31" s="196">
        <v>0</v>
      </c>
      <c r="O31" s="196">
        <f t="shared" si="0"/>
        <v>16247.7</v>
      </c>
    </row>
    <row r="32" spans="1:15" ht="78.75" customHeight="1" x14ac:dyDescent="0.2">
      <c r="A32" s="197"/>
      <c r="B32" s="130"/>
      <c r="C32" s="212" t="s">
        <v>260</v>
      </c>
      <c r="D32" s="160" t="s">
        <v>29</v>
      </c>
      <c r="E32" s="213"/>
      <c r="F32" s="160" t="s">
        <v>13</v>
      </c>
      <c r="G32" s="202">
        <v>100</v>
      </c>
      <c r="H32" s="196">
        <v>2000</v>
      </c>
      <c r="I32" s="196">
        <v>3100</v>
      </c>
      <c r="J32" s="196">
        <v>12000</v>
      </c>
      <c r="K32" s="196">
        <v>14573.5</v>
      </c>
      <c r="L32" s="196">
        <f>1017.3</f>
        <v>1017.3</v>
      </c>
      <c r="M32" s="196">
        <v>0</v>
      </c>
      <c r="N32" s="196">
        <v>0</v>
      </c>
      <c r="O32" s="196">
        <f t="shared" si="0"/>
        <v>32790.800000000003</v>
      </c>
    </row>
    <row r="33" spans="1:15" ht="73.5" customHeight="1" x14ac:dyDescent="0.2">
      <c r="A33" s="197"/>
      <c r="B33" s="130"/>
      <c r="C33" s="214" t="s">
        <v>261</v>
      </c>
      <c r="D33" s="160" t="s">
        <v>29</v>
      </c>
      <c r="E33" s="213"/>
      <c r="F33" s="160" t="s">
        <v>13</v>
      </c>
      <c r="G33" s="196">
        <v>1500</v>
      </c>
      <c r="H33" s="196">
        <v>1680</v>
      </c>
      <c r="I33" s="196">
        <v>1800</v>
      </c>
      <c r="J33" s="196">
        <v>3450</v>
      </c>
      <c r="K33" s="196">
        <v>3000</v>
      </c>
      <c r="L33" s="196">
        <f>0+1500+815.9</f>
        <v>2315.9</v>
      </c>
      <c r="M33" s="196">
        <v>0</v>
      </c>
      <c r="N33" s="196">
        <f>2850.5</f>
        <v>2850.5</v>
      </c>
      <c r="O33" s="196">
        <f t="shared" si="0"/>
        <v>16596.400000000001</v>
      </c>
    </row>
    <row r="34" spans="1:15" ht="75.75" customHeight="1" x14ac:dyDescent="0.2">
      <c r="A34" s="197"/>
      <c r="B34" s="130"/>
      <c r="C34" s="214" t="s">
        <v>262</v>
      </c>
      <c r="D34" s="160" t="s">
        <v>29</v>
      </c>
      <c r="E34" s="213"/>
      <c r="F34" s="160" t="s">
        <v>13</v>
      </c>
      <c r="G34" s="202">
        <v>0</v>
      </c>
      <c r="H34" s="196">
        <f>5650</f>
        <v>5650</v>
      </c>
      <c r="I34" s="196">
        <v>6800</v>
      </c>
      <c r="J34" s="196">
        <v>8000</v>
      </c>
      <c r="K34" s="196">
        <v>9500</v>
      </c>
      <c r="L34" s="196">
        <v>3500</v>
      </c>
      <c r="M34" s="196">
        <v>3850</v>
      </c>
      <c r="N34" s="196">
        <f>4235-4235</f>
        <v>0</v>
      </c>
      <c r="O34" s="196">
        <f t="shared" si="0"/>
        <v>37300</v>
      </c>
    </row>
    <row r="35" spans="1:15" ht="183.75" customHeight="1" x14ac:dyDescent="0.2">
      <c r="A35" s="204"/>
      <c r="B35" s="215"/>
      <c r="C35" s="216" t="s">
        <v>263</v>
      </c>
      <c r="D35" s="207" t="s">
        <v>29</v>
      </c>
      <c r="E35" s="208"/>
      <c r="F35" s="160" t="s">
        <v>13</v>
      </c>
      <c r="G35" s="202">
        <v>0</v>
      </c>
      <c r="H35" s="196">
        <v>9116.2999999999993</v>
      </c>
      <c r="I35" s="202">
        <v>0</v>
      </c>
      <c r="J35" s="202">
        <v>200</v>
      </c>
      <c r="K35" s="202">
        <v>14000</v>
      </c>
      <c r="L35" s="202">
        <v>9713.6</v>
      </c>
      <c r="M35" s="202">
        <v>0</v>
      </c>
      <c r="N35" s="202">
        <v>0</v>
      </c>
      <c r="O35" s="196">
        <f t="shared" si="0"/>
        <v>33029.9</v>
      </c>
    </row>
    <row r="36" spans="1:15" ht="26.25" customHeight="1" x14ac:dyDescent="0.2">
      <c r="A36" s="640">
        <v>3</v>
      </c>
      <c r="B36" s="640"/>
      <c r="C36" s="640"/>
      <c r="D36" s="640"/>
      <c r="E36" s="640"/>
      <c r="F36" s="640"/>
      <c r="G36" s="640"/>
      <c r="H36" s="640"/>
      <c r="I36" s="640"/>
      <c r="J36" s="640"/>
      <c r="K36" s="640"/>
      <c r="L36" s="640"/>
      <c r="M36" s="640"/>
      <c r="N36" s="640"/>
      <c r="O36" s="640"/>
    </row>
    <row r="37" spans="1:15" ht="24" customHeight="1" x14ac:dyDescent="0.2">
      <c r="A37" s="642" t="s">
        <v>255</v>
      </c>
      <c r="B37" s="643"/>
      <c r="C37" s="643"/>
      <c r="D37" s="643"/>
      <c r="E37" s="643"/>
      <c r="F37" s="643"/>
      <c r="G37" s="643"/>
      <c r="H37" s="643"/>
      <c r="I37" s="643"/>
      <c r="J37" s="643"/>
      <c r="K37" s="643"/>
      <c r="L37" s="643"/>
      <c r="M37" s="643"/>
      <c r="N37" s="643"/>
      <c r="O37" s="643"/>
    </row>
    <row r="38" spans="1:15" ht="26.25" customHeight="1" x14ac:dyDescent="0.2">
      <c r="A38" s="209">
        <v>1</v>
      </c>
      <c r="B38" s="210">
        <v>2</v>
      </c>
      <c r="C38" s="211">
        <v>3</v>
      </c>
      <c r="D38" s="193">
        <v>4</v>
      </c>
      <c r="E38" s="193">
        <v>5</v>
      </c>
      <c r="F38" s="193">
        <v>6</v>
      </c>
      <c r="G38" s="193">
        <v>7</v>
      </c>
      <c r="H38" s="193">
        <v>8</v>
      </c>
      <c r="I38" s="193">
        <v>9</v>
      </c>
      <c r="J38" s="193">
        <v>10</v>
      </c>
      <c r="K38" s="193">
        <v>11</v>
      </c>
      <c r="L38" s="193">
        <v>12</v>
      </c>
      <c r="M38" s="193">
        <v>13</v>
      </c>
      <c r="N38" s="193">
        <v>14</v>
      </c>
      <c r="O38" s="193">
        <v>15</v>
      </c>
    </row>
    <row r="39" spans="1:15" ht="147.75" customHeight="1" x14ac:dyDescent="0.2">
      <c r="A39" s="217"/>
      <c r="B39" s="218"/>
      <c r="C39" s="212" t="s">
        <v>264</v>
      </c>
      <c r="D39" s="160" t="s">
        <v>29</v>
      </c>
      <c r="E39" s="213"/>
      <c r="F39" s="160" t="s">
        <v>13</v>
      </c>
      <c r="G39" s="202">
        <v>0</v>
      </c>
      <c r="H39" s="202">
        <v>0</v>
      </c>
      <c r="I39" s="196">
        <v>10000</v>
      </c>
      <c r="J39" s="202">
        <v>0</v>
      </c>
      <c r="K39" s="202">
        <v>0</v>
      </c>
      <c r="L39" s="202">
        <v>16000</v>
      </c>
      <c r="M39" s="202">
        <v>0</v>
      </c>
      <c r="N39" s="202">
        <v>0</v>
      </c>
      <c r="O39" s="196">
        <f t="shared" si="0"/>
        <v>26000</v>
      </c>
    </row>
    <row r="40" spans="1:15" ht="179.25" customHeight="1" x14ac:dyDescent="0.2">
      <c r="A40" s="132"/>
      <c r="B40" s="219"/>
      <c r="C40" s="220" t="s">
        <v>265</v>
      </c>
      <c r="D40" s="160" t="s">
        <v>29</v>
      </c>
      <c r="E40" s="213"/>
      <c r="F40" s="160" t="s">
        <v>13</v>
      </c>
      <c r="G40" s="202">
        <v>0</v>
      </c>
      <c r="H40" s="202">
        <v>0</v>
      </c>
      <c r="I40" s="202">
        <v>0</v>
      </c>
      <c r="J40" s="202">
        <v>2425</v>
      </c>
      <c r="K40" s="202">
        <v>1275</v>
      </c>
      <c r="L40" s="202">
        <v>286.39999999999998</v>
      </c>
      <c r="M40" s="202">
        <v>0</v>
      </c>
      <c r="N40" s="202">
        <v>0</v>
      </c>
      <c r="O40" s="196">
        <f t="shared" si="0"/>
        <v>3986.4</v>
      </c>
    </row>
    <row r="41" spans="1:15" ht="148.5" customHeight="1" x14ac:dyDescent="0.2">
      <c r="A41" s="197"/>
      <c r="B41" s="130"/>
      <c r="C41" s="212" t="s">
        <v>266</v>
      </c>
      <c r="D41" s="160" t="s">
        <v>29</v>
      </c>
      <c r="E41" s="213"/>
      <c r="F41" s="160" t="s">
        <v>13</v>
      </c>
      <c r="G41" s="202">
        <v>0</v>
      </c>
      <c r="H41" s="202">
        <v>0</v>
      </c>
      <c r="I41" s="196">
        <v>10000</v>
      </c>
      <c r="J41" s="202">
        <v>0</v>
      </c>
      <c r="K41" s="202">
        <v>0</v>
      </c>
      <c r="L41" s="202">
        <v>0</v>
      </c>
      <c r="M41" s="202">
        <f>16000-16000</f>
        <v>0</v>
      </c>
      <c r="N41" s="202">
        <v>0</v>
      </c>
      <c r="O41" s="196">
        <f t="shared" si="0"/>
        <v>10000</v>
      </c>
    </row>
    <row r="42" spans="1:15" ht="151.5" customHeight="1" x14ac:dyDescent="0.2">
      <c r="A42" s="197"/>
      <c r="B42" s="130"/>
      <c r="C42" s="220" t="s">
        <v>267</v>
      </c>
      <c r="D42" s="160" t="s">
        <v>29</v>
      </c>
      <c r="E42" s="213"/>
      <c r="F42" s="160" t="s">
        <v>13</v>
      </c>
      <c r="G42" s="202">
        <v>0</v>
      </c>
      <c r="H42" s="202">
        <v>0</v>
      </c>
      <c r="I42" s="202">
        <v>0</v>
      </c>
      <c r="J42" s="196">
        <v>8000</v>
      </c>
      <c r="K42" s="202">
        <v>0</v>
      </c>
      <c r="L42" s="202">
        <v>0</v>
      </c>
      <c r="M42" s="202">
        <v>4000</v>
      </c>
      <c r="N42" s="202">
        <f>18000-18000</f>
        <v>0</v>
      </c>
      <c r="O42" s="196">
        <f t="shared" si="0"/>
        <v>12000</v>
      </c>
    </row>
    <row r="43" spans="1:15" ht="177.75" customHeight="1" x14ac:dyDescent="0.2">
      <c r="A43" s="204"/>
      <c r="B43" s="215"/>
      <c r="C43" s="221" t="s">
        <v>268</v>
      </c>
      <c r="D43" s="207" t="s">
        <v>29</v>
      </c>
      <c r="E43" s="208"/>
      <c r="F43" s="207" t="s">
        <v>13</v>
      </c>
      <c r="G43" s="202">
        <v>0</v>
      </c>
      <c r="H43" s="202">
        <v>0</v>
      </c>
      <c r="I43" s="202">
        <v>0</v>
      </c>
      <c r="J43" s="202">
        <v>0</v>
      </c>
      <c r="K43" s="196">
        <v>10000</v>
      </c>
      <c r="L43" s="196">
        <v>0</v>
      </c>
      <c r="M43" s="196">
        <v>0</v>
      </c>
      <c r="N43" s="196">
        <v>16000</v>
      </c>
      <c r="O43" s="196">
        <f t="shared" si="0"/>
        <v>26000</v>
      </c>
    </row>
    <row r="44" spans="1:15" ht="30.75" customHeight="1" x14ac:dyDescent="0.2">
      <c r="A44" s="640">
        <v>4</v>
      </c>
      <c r="B44" s="640"/>
      <c r="C44" s="640"/>
      <c r="D44" s="640"/>
      <c r="E44" s="640"/>
      <c r="F44" s="640"/>
      <c r="G44" s="640"/>
      <c r="H44" s="640"/>
      <c r="I44" s="640"/>
      <c r="J44" s="640"/>
      <c r="K44" s="640"/>
      <c r="L44" s="640"/>
      <c r="M44" s="640"/>
      <c r="N44" s="640"/>
      <c r="O44" s="640"/>
    </row>
    <row r="45" spans="1:15" ht="24" customHeight="1" x14ac:dyDescent="0.2">
      <c r="A45" s="642" t="s">
        <v>255</v>
      </c>
      <c r="B45" s="643"/>
      <c r="C45" s="643"/>
      <c r="D45" s="643"/>
      <c r="E45" s="643"/>
      <c r="F45" s="643"/>
      <c r="G45" s="643"/>
      <c r="H45" s="643"/>
      <c r="I45" s="643"/>
      <c r="J45" s="643"/>
      <c r="K45" s="643"/>
      <c r="L45" s="643"/>
      <c r="M45" s="643"/>
      <c r="N45" s="643"/>
      <c r="O45" s="643"/>
    </row>
    <row r="46" spans="1:15" ht="29.25" customHeight="1" x14ac:dyDescent="0.2">
      <c r="A46" s="222">
        <v>1</v>
      </c>
      <c r="B46" s="211">
        <v>2</v>
      </c>
      <c r="C46" s="193">
        <v>3</v>
      </c>
      <c r="D46" s="193">
        <v>4</v>
      </c>
      <c r="E46" s="10">
        <v>5</v>
      </c>
      <c r="F46" s="193">
        <v>6</v>
      </c>
      <c r="G46" s="193">
        <v>7</v>
      </c>
      <c r="H46" s="193">
        <v>8</v>
      </c>
      <c r="I46" s="193">
        <v>9</v>
      </c>
      <c r="J46" s="193">
        <v>10</v>
      </c>
      <c r="K46" s="193">
        <v>11</v>
      </c>
      <c r="L46" s="193">
        <v>12</v>
      </c>
      <c r="M46" s="193">
        <v>13</v>
      </c>
      <c r="N46" s="193">
        <v>14</v>
      </c>
      <c r="O46" s="193">
        <v>15</v>
      </c>
    </row>
    <row r="47" spans="1:15" ht="123" customHeight="1" x14ac:dyDescent="0.2">
      <c r="A47" s="654"/>
      <c r="B47" s="136"/>
      <c r="C47" s="223" t="s">
        <v>269</v>
      </c>
      <c r="D47" s="111" t="s">
        <v>29</v>
      </c>
      <c r="E47" s="224"/>
      <c r="F47" s="225" t="s">
        <v>13</v>
      </c>
      <c r="G47" s="202">
        <v>0</v>
      </c>
      <c r="H47" s="196">
        <f>5000-830</f>
        <v>4170</v>
      </c>
      <c r="I47" s="196">
        <v>2000</v>
      </c>
      <c r="J47" s="196">
        <v>2500</v>
      </c>
      <c r="K47" s="196">
        <v>0</v>
      </c>
      <c r="L47" s="196">
        <v>3500</v>
      </c>
      <c r="M47" s="196">
        <v>2000</v>
      </c>
      <c r="N47" s="196">
        <f>2000-2000</f>
        <v>0</v>
      </c>
      <c r="O47" s="196">
        <f t="shared" si="0"/>
        <v>14170</v>
      </c>
    </row>
    <row r="48" spans="1:15" ht="67.5" customHeight="1" x14ac:dyDescent="0.2">
      <c r="A48" s="575"/>
      <c r="B48" s="136"/>
      <c r="C48" s="39" t="s">
        <v>40</v>
      </c>
      <c r="D48" s="226" t="s">
        <v>29</v>
      </c>
      <c r="E48" s="132"/>
      <c r="F48" s="227" t="s">
        <v>13</v>
      </c>
      <c r="G48" s="196">
        <v>0</v>
      </c>
      <c r="H48" s="202">
        <v>60000</v>
      </c>
      <c r="I48" s="202">
        <v>0</v>
      </c>
      <c r="J48" s="202">
        <v>0</v>
      </c>
      <c r="K48" s="202">
        <v>0</v>
      </c>
      <c r="L48" s="202">
        <f>60000-1000-4500</f>
        <v>54500</v>
      </c>
      <c r="M48" s="202">
        <f>66000</f>
        <v>66000</v>
      </c>
      <c r="N48" s="202">
        <f>72600-72600</f>
        <v>0</v>
      </c>
      <c r="O48" s="196">
        <f t="shared" si="0"/>
        <v>180500</v>
      </c>
    </row>
    <row r="49" spans="1:15" ht="67.5" customHeight="1" x14ac:dyDescent="0.2">
      <c r="A49" s="575"/>
      <c r="B49" s="136"/>
      <c r="C49" s="228" t="s">
        <v>41</v>
      </c>
      <c r="D49" s="114" t="s">
        <v>18</v>
      </c>
      <c r="E49" s="132"/>
      <c r="F49" s="225" t="s">
        <v>13</v>
      </c>
      <c r="G49" s="196">
        <f>30893.1-20000</f>
        <v>10893.099999999999</v>
      </c>
      <c r="H49" s="202">
        <v>0</v>
      </c>
      <c r="I49" s="202">
        <v>33783</v>
      </c>
      <c r="J49" s="202">
        <v>44021.8</v>
      </c>
      <c r="K49" s="202">
        <v>61825.56</v>
      </c>
      <c r="L49" s="202">
        <v>0</v>
      </c>
      <c r="M49" s="202">
        <v>0</v>
      </c>
      <c r="N49" s="202">
        <v>0</v>
      </c>
      <c r="O49" s="196">
        <f t="shared" si="0"/>
        <v>150523.46</v>
      </c>
    </row>
    <row r="50" spans="1:15" ht="81" customHeight="1" x14ac:dyDescent="0.2">
      <c r="A50" s="575"/>
      <c r="B50" s="136"/>
      <c r="C50" s="228" t="s">
        <v>270</v>
      </c>
      <c r="D50" s="114" t="s">
        <v>18</v>
      </c>
      <c r="E50" s="132"/>
      <c r="F50" s="225" t="s">
        <v>13</v>
      </c>
      <c r="G50" s="196">
        <v>0</v>
      </c>
      <c r="H50" s="202">
        <v>0</v>
      </c>
      <c r="I50" s="202">
        <v>3000</v>
      </c>
      <c r="J50" s="202">
        <v>2597.8000000000002</v>
      </c>
      <c r="K50" s="202">
        <v>1300</v>
      </c>
      <c r="L50" s="202">
        <v>0</v>
      </c>
      <c r="M50" s="202">
        <v>0</v>
      </c>
      <c r="N50" s="202">
        <v>0</v>
      </c>
      <c r="O50" s="196">
        <f t="shared" si="0"/>
        <v>6897.8</v>
      </c>
    </row>
    <row r="51" spans="1:15" ht="60.75" customHeight="1" x14ac:dyDescent="0.2">
      <c r="A51" s="132"/>
      <c r="B51" s="136"/>
      <c r="C51" s="229" t="s">
        <v>43</v>
      </c>
      <c r="D51" s="655" t="s">
        <v>61</v>
      </c>
      <c r="E51" s="132"/>
      <c r="F51" s="658" t="s">
        <v>13</v>
      </c>
      <c r="G51" s="230">
        <f>SUM(G53:G62)</f>
        <v>0</v>
      </c>
      <c r="H51" s="230">
        <f t="shared" ref="H51:N51" si="1">SUM(H53:H62)</f>
        <v>0</v>
      </c>
      <c r="I51" s="230">
        <f t="shared" si="1"/>
        <v>0</v>
      </c>
      <c r="J51" s="230">
        <f t="shared" si="1"/>
        <v>2300</v>
      </c>
      <c r="K51" s="230">
        <f t="shared" si="1"/>
        <v>0</v>
      </c>
      <c r="L51" s="230">
        <f t="shared" si="1"/>
        <v>15850</v>
      </c>
      <c r="M51" s="230">
        <f t="shared" si="1"/>
        <v>9150</v>
      </c>
      <c r="N51" s="230">
        <f t="shared" si="1"/>
        <v>19500</v>
      </c>
      <c r="O51" s="230">
        <f>SUM(G51:N51)</f>
        <v>46800</v>
      </c>
    </row>
    <row r="52" spans="1:15" ht="15.75" customHeight="1" x14ac:dyDescent="0.2">
      <c r="A52" s="132"/>
      <c r="B52" s="136"/>
      <c r="C52" s="229" t="s">
        <v>45</v>
      </c>
      <c r="D52" s="656"/>
      <c r="E52" s="132"/>
      <c r="F52" s="659"/>
      <c r="G52" s="230"/>
      <c r="H52" s="231"/>
      <c r="I52" s="231"/>
      <c r="J52" s="231"/>
      <c r="K52" s="231"/>
      <c r="L52" s="231"/>
      <c r="M52" s="231"/>
      <c r="N52" s="231"/>
      <c r="O52" s="230"/>
    </row>
    <row r="53" spans="1:15" ht="47.25" customHeight="1" x14ac:dyDescent="0.2">
      <c r="A53" s="132"/>
      <c r="B53" s="136"/>
      <c r="C53" s="229" t="s">
        <v>46</v>
      </c>
      <c r="D53" s="656"/>
      <c r="E53" s="132"/>
      <c r="F53" s="659"/>
      <c r="G53" s="232">
        <v>0</v>
      </c>
      <c r="H53" s="233">
        <v>0</v>
      </c>
      <c r="I53" s="233">
        <v>0</v>
      </c>
      <c r="J53" s="233">
        <v>0</v>
      </c>
      <c r="K53" s="233">
        <v>0</v>
      </c>
      <c r="L53" s="234">
        <v>3500</v>
      </c>
      <c r="M53" s="234">
        <f>900-350-350</f>
        <v>200</v>
      </c>
      <c r="N53" s="234">
        <v>0</v>
      </c>
      <c r="O53" s="230">
        <f t="shared" ref="O53:O58" si="2">SUM(G53:N53)</f>
        <v>3700</v>
      </c>
    </row>
    <row r="54" spans="1:15" ht="32.25" customHeight="1" x14ac:dyDescent="0.2">
      <c r="A54" s="132"/>
      <c r="B54" s="136"/>
      <c r="C54" s="229" t="s">
        <v>47</v>
      </c>
      <c r="D54" s="656"/>
      <c r="E54" s="235"/>
      <c r="F54" s="659"/>
      <c r="G54" s="232">
        <v>0</v>
      </c>
      <c r="H54" s="233">
        <v>0</v>
      </c>
      <c r="I54" s="233">
        <v>0</v>
      </c>
      <c r="J54" s="233">
        <v>2300</v>
      </c>
      <c r="K54" s="233">
        <v>0</v>
      </c>
      <c r="L54" s="234">
        <f>5100-450</f>
        <v>4650</v>
      </c>
      <c r="M54" s="234">
        <v>2800</v>
      </c>
      <c r="N54" s="234">
        <v>0</v>
      </c>
      <c r="O54" s="230">
        <f t="shared" si="2"/>
        <v>9750</v>
      </c>
    </row>
    <row r="55" spans="1:15" ht="33" customHeight="1" x14ac:dyDescent="0.2">
      <c r="A55" s="132"/>
      <c r="B55" s="136"/>
      <c r="C55" s="229" t="s">
        <v>271</v>
      </c>
      <c r="D55" s="656"/>
      <c r="E55" s="132"/>
      <c r="F55" s="659"/>
      <c r="G55" s="232">
        <v>0</v>
      </c>
      <c r="H55" s="233">
        <v>0</v>
      </c>
      <c r="I55" s="233">
        <v>0</v>
      </c>
      <c r="J55" s="233">
        <v>0</v>
      </c>
      <c r="K55" s="233">
        <v>0</v>
      </c>
      <c r="L55" s="234">
        <f>4000+375</f>
        <v>4375</v>
      </c>
      <c r="M55" s="234">
        <v>4300</v>
      </c>
      <c r="N55" s="234">
        <f>4500+1600</f>
        <v>6100</v>
      </c>
      <c r="O55" s="230">
        <f t="shared" si="2"/>
        <v>14775</v>
      </c>
    </row>
    <row r="56" spans="1:15" ht="26.25" customHeight="1" x14ac:dyDescent="0.2">
      <c r="A56" s="132"/>
      <c r="B56" s="136"/>
      <c r="C56" s="229" t="s">
        <v>49</v>
      </c>
      <c r="D56" s="656"/>
      <c r="E56" s="132"/>
      <c r="F56" s="659"/>
      <c r="G56" s="232">
        <v>0</v>
      </c>
      <c r="H56" s="233">
        <v>0</v>
      </c>
      <c r="I56" s="233">
        <v>0</v>
      </c>
      <c r="J56" s="233">
        <v>0</v>
      </c>
      <c r="K56" s="233">
        <v>0</v>
      </c>
      <c r="L56" s="234">
        <v>0</v>
      </c>
      <c r="M56" s="234">
        <f>850+350</f>
        <v>1200</v>
      </c>
      <c r="N56" s="234">
        <f>735-735</f>
        <v>0</v>
      </c>
      <c r="O56" s="230">
        <f t="shared" si="2"/>
        <v>1200</v>
      </c>
    </row>
    <row r="57" spans="1:15" ht="21.75" customHeight="1" x14ac:dyDescent="0.2">
      <c r="A57" s="132"/>
      <c r="B57" s="136"/>
      <c r="C57" s="229" t="s">
        <v>50</v>
      </c>
      <c r="D57" s="656"/>
      <c r="E57" s="132"/>
      <c r="F57" s="659"/>
      <c r="G57" s="232">
        <v>0</v>
      </c>
      <c r="H57" s="233">
        <v>0</v>
      </c>
      <c r="I57" s="233">
        <v>0</v>
      </c>
      <c r="J57" s="233">
        <v>0</v>
      </c>
      <c r="K57" s="233">
        <v>0</v>
      </c>
      <c r="L57" s="234">
        <v>0</v>
      </c>
      <c r="M57" s="234">
        <f>300+350</f>
        <v>650</v>
      </c>
      <c r="N57" s="234">
        <v>0</v>
      </c>
      <c r="O57" s="230">
        <f t="shared" si="2"/>
        <v>650</v>
      </c>
    </row>
    <row r="58" spans="1:15" ht="33.75" customHeight="1" x14ac:dyDescent="0.2">
      <c r="A58" s="132"/>
      <c r="B58" s="136"/>
      <c r="C58" s="229" t="s">
        <v>51</v>
      </c>
      <c r="D58" s="656"/>
      <c r="E58" s="132"/>
      <c r="F58" s="659"/>
      <c r="G58" s="232">
        <v>0</v>
      </c>
      <c r="H58" s="233">
        <v>0</v>
      </c>
      <c r="I58" s="233">
        <v>0</v>
      </c>
      <c r="J58" s="233">
        <v>0</v>
      </c>
      <c r="K58" s="233">
        <v>0</v>
      </c>
      <c r="L58" s="234">
        <v>2875</v>
      </c>
      <c r="M58" s="234">
        <v>0</v>
      </c>
      <c r="N58" s="234">
        <v>0</v>
      </c>
      <c r="O58" s="230">
        <f t="shared" si="2"/>
        <v>2875</v>
      </c>
    </row>
    <row r="59" spans="1:15" ht="31.5" customHeight="1" x14ac:dyDescent="0.2">
      <c r="A59" s="132"/>
      <c r="B59" s="136"/>
      <c r="C59" s="229" t="s">
        <v>52</v>
      </c>
      <c r="D59" s="656"/>
      <c r="E59" s="132"/>
      <c r="F59" s="659"/>
      <c r="G59" s="232">
        <v>0</v>
      </c>
      <c r="H59" s="233">
        <v>0</v>
      </c>
      <c r="I59" s="233">
        <v>0</v>
      </c>
      <c r="J59" s="233">
        <v>0</v>
      </c>
      <c r="K59" s="233">
        <v>0</v>
      </c>
      <c r="L59" s="234">
        <v>450</v>
      </c>
      <c r="M59" s="233">
        <v>0</v>
      </c>
      <c r="N59" s="233">
        <v>0</v>
      </c>
      <c r="O59" s="230">
        <f>SUM(G59:N59)</f>
        <v>450</v>
      </c>
    </row>
    <row r="60" spans="1:15" ht="37.5" customHeight="1" x14ac:dyDescent="0.2">
      <c r="A60" s="132"/>
      <c r="B60" s="136"/>
      <c r="C60" s="229" t="s">
        <v>272</v>
      </c>
      <c r="D60" s="656"/>
      <c r="E60" s="132"/>
      <c r="F60" s="659"/>
      <c r="G60" s="232">
        <v>0</v>
      </c>
      <c r="H60" s="233">
        <v>0</v>
      </c>
      <c r="I60" s="233">
        <v>0</v>
      </c>
      <c r="J60" s="233">
        <v>0</v>
      </c>
      <c r="K60" s="233">
        <v>0</v>
      </c>
      <c r="L60" s="234">
        <v>0</v>
      </c>
      <c r="M60" s="233">
        <v>0</v>
      </c>
      <c r="N60" s="233">
        <v>6000</v>
      </c>
      <c r="O60" s="230">
        <f t="shared" ref="O60:O62" si="3">SUM(G60:N60)</f>
        <v>6000</v>
      </c>
    </row>
    <row r="61" spans="1:15" ht="37.5" customHeight="1" x14ac:dyDescent="0.2">
      <c r="A61" s="132"/>
      <c r="B61" s="136"/>
      <c r="C61" s="229" t="s">
        <v>54</v>
      </c>
      <c r="D61" s="656"/>
      <c r="E61" s="132"/>
      <c r="F61" s="659"/>
      <c r="G61" s="232">
        <v>0</v>
      </c>
      <c r="H61" s="233">
        <v>0</v>
      </c>
      <c r="I61" s="233">
        <v>0</v>
      </c>
      <c r="J61" s="233">
        <v>0</v>
      </c>
      <c r="K61" s="233">
        <v>0</v>
      </c>
      <c r="L61" s="234">
        <v>0</v>
      </c>
      <c r="M61" s="233">
        <v>0</v>
      </c>
      <c r="N61" s="233">
        <v>5200</v>
      </c>
      <c r="O61" s="230">
        <f t="shared" si="3"/>
        <v>5200</v>
      </c>
    </row>
    <row r="62" spans="1:15" ht="21.75" customHeight="1" x14ac:dyDescent="0.2">
      <c r="A62" s="132"/>
      <c r="B62" s="136"/>
      <c r="C62" s="229" t="s">
        <v>55</v>
      </c>
      <c r="D62" s="657"/>
      <c r="E62" s="132"/>
      <c r="F62" s="660"/>
      <c r="G62" s="236">
        <v>0</v>
      </c>
      <c r="H62" s="237">
        <v>0</v>
      </c>
      <c r="I62" s="237">
        <v>0</v>
      </c>
      <c r="J62" s="237">
        <v>0</v>
      </c>
      <c r="K62" s="237">
        <v>0</v>
      </c>
      <c r="L62" s="238">
        <v>0</v>
      </c>
      <c r="M62" s="237">
        <v>0</v>
      </c>
      <c r="N62" s="237">
        <v>2200</v>
      </c>
      <c r="O62" s="230">
        <f t="shared" si="3"/>
        <v>2200</v>
      </c>
    </row>
    <row r="63" spans="1:15" ht="69.75" customHeight="1" x14ac:dyDescent="0.2">
      <c r="A63" s="239"/>
      <c r="B63" s="240"/>
      <c r="C63" s="206" t="s">
        <v>273</v>
      </c>
      <c r="D63" s="122" t="s">
        <v>61</v>
      </c>
      <c r="E63" s="239"/>
      <c r="F63" s="241" t="s">
        <v>13</v>
      </c>
      <c r="G63" s="242">
        <v>0</v>
      </c>
      <c r="H63" s="242">
        <v>0</v>
      </c>
      <c r="I63" s="242">
        <v>0</v>
      </c>
      <c r="J63" s="242">
        <v>2000</v>
      </c>
      <c r="K63" s="242">
        <v>1760.9</v>
      </c>
      <c r="L63" s="242">
        <f>2000+2100</f>
        <v>4100</v>
      </c>
      <c r="M63" s="196">
        <f>2500+3000+2149.3</f>
        <v>7649.3</v>
      </c>
      <c r="N63" s="230">
        <f>3000+10000+2000+13790</f>
        <v>28790</v>
      </c>
      <c r="O63" s="230">
        <f t="shared" si="0"/>
        <v>44300.2</v>
      </c>
    </row>
    <row r="64" spans="1:15" ht="30.75" customHeight="1" x14ac:dyDescent="0.2">
      <c r="A64" s="640">
        <v>5</v>
      </c>
      <c r="B64" s="640"/>
      <c r="C64" s="640"/>
      <c r="D64" s="640"/>
      <c r="E64" s="640"/>
      <c r="F64" s="640"/>
      <c r="G64" s="640"/>
      <c r="H64" s="640"/>
      <c r="I64" s="640"/>
      <c r="J64" s="640"/>
      <c r="K64" s="640"/>
      <c r="L64" s="640"/>
      <c r="M64" s="640"/>
      <c r="N64" s="640"/>
      <c r="O64" s="640"/>
    </row>
    <row r="65" spans="1:15" ht="19.5" customHeight="1" x14ac:dyDescent="0.2">
      <c r="A65" s="642" t="s">
        <v>255</v>
      </c>
      <c r="B65" s="643"/>
      <c r="C65" s="643"/>
      <c r="D65" s="643"/>
      <c r="E65" s="643"/>
      <c r="F65" s="643"/>
      <c r="G65" s="643"/>
      <c r="H65" s="643"/>
      <c r="I65" s="643"/>
      <c r="J65" s="643"/>
      <c r="K65" s="643"/>
      <c r="L65" s="643"/>
      <c r="M65" s="643"/>
      <c r="N65" s="643"/>
      <c r="O65" s="643"/>
    </row>
    <row r="66" spans="1:15" ht="30" customHeight="1" x14ac:dyDescent="0.2">
      <c r="A66" s="243">
        <v>1</v>
      </c>
      <c r="B66" s="243">
        <v>2</v>
      </c>
      <c r="C66" s="243">
        <v>3</v>
      </c>
      <c r="D66" s="243">
        <v>4</v>
      </c>
      <c r="E66" s="243">
        <v>5</v>
      </c>
      <c r="F66" s="243">
        <v>6</v>
      </c>
      <c r="G66" s="243">
        <v>7</v>
      </c>
      <c r="H66" s="243">
        <v>8</v>
      </c>
      <c r="I66" s="243">
        <v>9</v>
      </c>
      <c r="J66" s="243">
        <v>10</v>
      </c>
      <c r="K66" s="243">
        <v>11</v>
      </c>
      <c r="L66" s="243">
        <v>12</v>
      </c>
      <c r="M66" s="243">
        <v>13</v>
      </c>
      <c r="N66" s="243">
        <v>14</v>
      </c>
      <c r="O66" s="243">
        <v>15</v>
      </c>
    </row>
    <row r="67" spans="1:15" ht="78" customHeight="1" x14ac:dyDescent="0.2">
      <c r="A67" s="132"/>
      <c r="B67" s="130"/>
      <c r="C67" s="221" t="s">
        <v>274</v>
      </c>
      <c r="D67" s="122" t="s">
        <v>61</v>
      </c>
      <c r="E67" s="132"/>
      <c r="F67" s="241" t="s">
        <v>13</v>
      </c>
      <c r="G67" s="196">
        <v>0</v>
      </c>
      <c r="H67" s="196">
        <v>0</v>
      </c>
      <c r="I67" s="196">
        <v>0</v>
      </c>
      <c r="J67" s="196">
        <v>7900</v>
      </c>
      <c r="K67" s="196">
        <v>6611.6</v>
      </c>
      <c r="L67" s="196">
        <v>10000</v>
      </c>
      <c r="M67" s="196">
        <f>14000-2149.3</f>
        <v>11850.7</v>
      </c>
      <c r="N67" s="196">
        <f>20000-10000</f>
        <v>10000</v>
      </c>
      <c r="O67" s="196">
        <f>SUM(G67:N67)</f>
        <v>46362.3</v>
      </c>
    </row>
    <row r="68" spans="1:15" ht="69.75" customHeight="1" x14ac:dyDescent="0.2">
      <c r="A68" s="132"/>
      <c r="B68" s="130"/>
      <c r="C68" s="244" t="s">
        <v>63</v>
      </c>
      <c r="D68" s="245" t="s">
        <v>61</v>
      </c>
      <c r="E68" s="132"/>
      <c r="F68" s="246" t="s">
        <v>13</v>
      </c>
      <c r="G68" s="247">
        <v>0</v>
      </c>
      <c r="H68" s="247">
        <v>0</v>
      </c>
      <c r="I68" s="247">
        <v>0</v>
      </c>
      <c r="J68" s="247">
        <v>1600</v>
      </c>
      <c r="K68" s="247">
        <v>5500</v>
      </c>
      <c r="L68" s="247">
        <f>7600-3900</f>
        <v>3700</v>
      </c>
      <c r="M68" s="247">
        <f>8360-8360</f>
        <v>0</v>
      </c>
      <c r="N68" s="247">
        <f>9200-9200</f>
        <v>0</v>
      </c>
      <c r="O68" s="247">
        <f t="shared" si="0"/>
        <v>10800</v>
      </c>
    </row>
    <row r="69" spans="1:15" ht="81" customHeight="1" x14ac:dyDescent="0.2">
      <c r="A69" s="132"/>
      <c r="B69" s="136"/>
      <c r="C69" s="201" t="s">
        <v>275</v>
      </c>
      <c r="D69" s="160" t="s">
        <v>61</v>
      </c>
      <c r="E69" s="213"/>
      <c r="F69" s="160" t="s">
        <v>13</v>
      </c>
      <c r="G69" s="196">
        <v>0</v>
      </c>
      <c r="H69" s="202">
        <v>0</v>
      </c>
      <c r="I69" s="202">
        <v>0</v>
      </c>
      <c r="J69" s="202">
        <v>6000</v>
      </c>
      <c r="K69" s="202">
        <v>13000</v>
      </c>
      <c r="L69" s="202">
        <v>1260</v>
      </c>
      <c r="M69" s="202">
        <v>1385</v>
      </c>
      <c r="N69" s="202">
        <v>1525</v>
      </c>
      <c r="O69" s="196">
        <f t="shared" si="0"/>
        <v>23170</v>
      </c>
    </row>
    <row r="70" spans="1:15" ht="110.25" customHeight="1" x14ac:dyDescent="0.2">
      <c r="A70" s="574"/>
      <c r="B70" s="136"/>
      <c r="C70" s="201" t="s">
        <v>65</v>
      </c>
      <c r="D70" s="160" t="s">
        <v>61</v>
      </c>
      <c r="E70" s="213"/>
      <c r="F70" s="160" t="s">
        <v>13</v>
      </c>
      <c r="G70" s="196">
        <v>0</v>
      </c>
      <c r="H70" s="202">
        <v>0</v>
      </c>
      <c r="I70" s="202">
        <v>0</v>
      </c>
      <c r="J70" s="202">
        <v>2500</v>
      </c>
      <c r="K70" s="202">
        <v>7500</v>
      </c>
      <c r="L70" s="202">
        <v>1835.7</v>
      </c>
      <c r="M70" s="202">
        <f>8500</f>
        <v>8500</v>
      </c>
      <c r="N70" s="202">
        <v>0</v>
      </c>
      <c r="O70" s="196">
        <f t="shared" si="0"/>
        <v>20335.7</v>
      </c>
    </row>
    <row r="71" spans="1:15" ht="130.5" customHeight="1" x14ac:dyDescent="0.2">
      <c r="A71" s="575"/>
      <c r="B71" s="136"/>
      <c r="C71" s="201" t="s">
        <v>276</v>
      </c>
      <c r="D71" s="160" t="s">
        <v>61</v>
      </c>
      <c r="E71" s="213"/>
      <c r="F71" s="160" t="s">
        <v>13</v>
      </c>
      <c r="G71" s="196">
        <v>0</v>
      </c>
      <c r="H71" s="202">
        <v>0</v>
      </c>
      <c r="I71" s="202">
        <v>0</v>
      </c>
      <c r="J71" s="202">
        <v>0</v>
      </c>
      <c r="K71" s="202">
        <v>1000</v>
      </c>
      <c r="L71" s="202">
        <v>10000</v>
      </c>
      <c r="M71" s="202">
        <f>10000-8500</f>
        <v>1500</v>
      </c>
      <c r="N71" s="202">
        <v>0</v>
      </c>
      <c r="O71" s="196">
        <f t="shared" si="0"/>
        <v>12500</v>
      </c>
    </row>
    <row r="72" spans="1:15" ht="70.5" customHeight="1" x14ac:dyDescent="0.2">
      <c r="A72" s="132"/>
      <c r="B72" s="136"/>
      <c r="C72" s="201" t="s">
        <v>67</v>
      </c>
      <c r="D72" s="160" t="s">
        <v>68</v>
      </c>
      <c r="E72" s="213"/>
      <c r="F72" s="160" t="s">
        <v>13</v>
      </c>
      <c r="G72" s="196">
        <v>0</v>
      </c>
      <c r="H72" s="202">
        <v>0</v>
      </c>
      <c r="I72" s="202">
        <v>0</v>
      </c>
      <c r="J72" s="202">
        <v>0</v>
      </c>
      <c r="K72" s="202">
        <v>7950</v>
      </c>
      <c r="L72" s="202">
        <v>0</v>
      </c>
      <c r="M72" s="202">
        <v>0</v>
      </c>
      <c r="N72" s="202">
        <v>0</v>
      </c>
      <c r="O72" s="196">
        <f t="shared" si="0"/>
        <v>7950</v>
      </c>
    </row>
    <row r="73" spans="1:15" ht="71.25" customHeight="1" x14ac:dyDescent="0.2">
      <c r="A73" s="132"/>
      <c r="B73" s="136"/>
      <c r="C73" s="201" t="s">
        <v>69</v>
      </c>
      <c r="D73" s="160" t="s">
        <v>61</v>
      </c>
      <c r="E73" s="213"/>
      <c r="F73" s="160" t="s">
        <v>13</v>
      </c>
      <c r="G73" s="196">
        <v>0</v>
      </c>
      <c r="H73" s="202">
        <v>0</v>
      </c>
      <c r="I73" s="202">
        <v>0</v>
      </c>
      <c r="J73" s="202">
        <v>0</v>
      </c>
      <c r="K73" s="202">
        <v>1000</v>
      </c>
      <c r="L73" s="202">
        <v>10000</v>
      </c>
      <c r="M73" s="202">
        <f>4000-2250</f>
        <v>1750</v>
      </c>
      <c r="N73" s="202">
        <v>0</v>
      </c>
      <c r="O73" s="196">
        <f t="shared" si="0"/>
        <v>12750</v>
      </c>
    </row>
    <row r="74" spans="1:15" ht="82.5" customHeight="1" x14ac:dyDescent="0.2">
      <c r="A74" s="132"/>
      <c r="B74" s="136"/>
      <c r="C74" s="201" t="s">
        <v>70</v>
      </c>
      <c r="D74" s="160" t="s">
        <v>71</v>
      </c>
      <c r="E74" s="203"/>
      <c r="F74" s="160" t="s">
        <v>13</v>
      </c>
      <c r="G74" s="196">
        <v>0</v>
      </c>
      <c r="H74" s="202">
        <v>0</v>
      </c>
      <c r="I74" s="202">
        <v>0</v>
      </c>
      <c r="J74" s="202">
        <v>0</v>
      </c>
      <c r="K74" s="202">
        <v>0</v>
      </c>
      <c r="L74" s="202">
        <v>2000</v>
      </c>
      <c r="M74" s="202">
        <v>7000</v>
      </c>
      <c r="N74" s="202">
        <v>10000</v>
      </c>
      <c r="O74" s="196">
        <f t="shared" si="0"/>
        <v>19000</v>
      </c>
    </row>
    <row r="75" spans="1:15" ht="109.5" customHeight="1" x14ac:dyDescent="0.2">
      <c r="A75" s="239"/>
      <c r="B75" s="240"/>
      <c r="C75" s="206" t="s">
        <v>277</v>
      </c>
      <c r="D75" s="207" t="s">
        <v>71</v>
      </c>
      <c r="E75" s="248"/>
      <c r="F75" s="207" t="s">
        <v>13</v>
      </c>
      <c r="G75" s="196">
        <v>0</v>
      </c>
      <c r="H75" s="202">
        <v>0</v>
      </c>
      <c r="I75" s="202">
        <v>0</v>
      </c>
      <c r="J75" s="202">
        <v>0</v>
      </c>
      <c r="K75" s="202">
        <v>0</v>
      </c>
      <c r="L75" s="202">
        <v>2000</v>
      </c>
      <c r="M75" s="202">
        <v>2000</v>
      </c>
      <c r="N75" s="202">
        <v>0</v>
      </c>
      <c r="O75" s="196">
        <f t="shared" si="0"/>
        <v>4000</v>
      </c>
    </row>
    <row r="76" spans="1:15" ht="10.5" customHeight="1" x14ac:dyDescent="0.2">
      <c r="A76" s="640">
        <v>6</v>
      </c>
      <c r="B76" s="640"/>
      <c r="C76" s="640"/>
      <c r="D76" s="640"/>
      <c r="E76" s="640"/>
      <c r="F76" s="640"/>
      <c r="G76" s="640"/>
      <c r="H76" s="640"/>
      <c r="I76" s="640"/>
      <c r="J76" s="640"/>
      <c r="K76" s="640"/>
      <c r="L76" s="640"/>
      <c r="M76" s="640"/>
      <c r="N76" s="640"/>
      <c r="O76" s="640"/>
    </row>
    <row r="77" spans="1:15" ht="15" customHeight="1" x14ac:dyDescent="0.2">
      <c r="A77" s="642" t="s">
        <v>255</v>
      </c>
      <c r="B77" s="643"/>
      <c r="C77" s="643"/>
      <c r="D77" s="643"/>
      <c r="E77" s="643"/>
      <c r="F77" s="643"/>
      <c r="G77" s="643"/>
      <c r="H77" s="643"/>
      <c r="I77" s="643"/>
      <c r="J77" s="643"/>
      <c r="K77" s="643"/>
      <c r="L77" s="643"/>
      <c r="M77" s="643"/>
      <c r="N77" s="643"/>
      <c r="O77" s="643"/>
    </row>
    <row r="78" spans="1:15" ht="16.5" customHeight="1" x14ac:dyDescent="0.2">
      <c r="A78" s="209">
        <v>1</v>
      </c>
      <c r="B78" s="210">
        <v>2</v>
      </c>
      <c r="C78" s="211">
        <v>3</v>
      </c>
      <c r="D78" s="193">
        <v>4</v>
      </c>
      <c r="E78" s="193">
        <v>5</v>
      </c>
      <c r="F78" s="193">
        <v>6</v>
      </c>
      <c r="G78" s="193">
        <v>7</v>
      </c>
      <c r="H78" s="193">
        <v>8</v>
      </c>
      <c r="I78" s="193">
        <v>9</v>
      </c>
      <c r="J78" s="193">
        <v>10</v>
      </c>
      <c r="K78" s="193">
        <v>11</v>
      </c>
      <c r="L78" s="193">
        <v>12</v>
      </c>
      <c r="M78" s="193">
        <v>13</v>
      </c>
      <c r="N78" s="193">
        <v>14</v>
      </c>
      <c r="O78" s="193">
        <v>15</v>
      </c>
    </row>
    <row r="79" spans="1:15" ht="110.25" customHeight="1" x14ac:dyDescent="0.2">
      <c r="A79" s="132"/>
      <c r="B79" s="249"/>
      <c r="C79" s="212" t="s">
        <v>278</v>
      </c>
      <c r="D79" s="160" t="s">
        <v>71</v>
      </c>
      <c r="E79" s="203"/>
      <c r="F79" s="160" t="s">
        <v>13</v>
      </c>
      <c r="G79" s="196">
        <v>0</v>
      </c>
      <c r="H79" s="202">
        <v>0</v>
      </c>
      <c r="I79" s="202">
        <v>0</v>
      </c>
      <c r="J79" s="202">
        <v>0</v>
      </c>
      <c r="K79" s="202">
        <v>0</v>
      </c>
      <c r="L79" s="202">
        <v>2000</v>
      </c>
      <c r="M79" s="202">
        <v>2000</v>
      </c>
      <c r="N79" s="202">
        <v>0</v>
      </c>
      <c r="O79" s="196">
        <f t="shared" si="0"/>
        <v>4000</v>
      </c>
    </row>
    <row r="80" spans="1:15" ht="83.25" customHeight="1" x14ac:dyDescent="0.2">
      <c r="A80" s="132"/>
      <c r="B80" s="249"/>
      <c r="C80" s="212" t="s">
        <v>75</v>
      </c>
      <c r="D80" s="160" t="s">
        <v>71</v>
      </c>
      <c r="E80" s="203"/>
      <c r="F80" s="160" t="s">
        <v>13</v>
      </c>
      <c r="G80" s="196">
        <v>0</v>
      </c>
      <c r="H80" s="202">
        <v>0</v>
      </c>
      <c r="I80" s="202">
        <v>0</v>
      </c>
      <c r="J80" s="202">
        <v>0</v>
      </c>
      <c r="K80" s="202">
        <v>0</v>
      </c>
      <c r="L80" s="231">
        <f>500+1000</f>
        <v>1500</v>
      </c>
      <c r="M80" s="231">
        <v>1000</v>
      </c>
      <c r="N80" s="231">
        <v>1500</v>
      </c>
      <c r="O80" s="230">
        <f t="shared" si="0"/>
        <v>4000</v>
      </c>
    </row>
    <row r="81" spans="1:15" ht="79.5" customHeight="1" x14ac:dyDescent="0.2">
      <c r="A81" s="132"/>
      <c r="B81" s="576"/>
      <c r="C81" s="212" t="s">
        <v>279</v>
      </c>
      <c r="D81" s="160" t="s">
        <v>71</v>
      </c>
      <c r="E81" s="203"/>
      <c r="F81" s="160" t="s">
        <v>13</v>
      </c>
      <c r="G81" s="196">
        <v>0</v>
      </c>
      <c r="H81" s="202">
        <v>0</v>
      </c>
      <c r="I81" s="202">
        <v>0</v>
      </c>
      <c r="J81" s="202">
        <v>0</v>
      </c>
      <c r="K81" s="202">
        <v>0</v>
      </c>
      <c r="L81" s="202">
        <v>1000</v>
      </c>
      <c r="M81" s="202">
        <v>3000</v>
      </c>
      <c r="N81" s="202">
        <f>3000-3000</f>
        <v>0</v>
      </c>
      <c r="O81" s="196">
        <f t="shared" si="0"/>
        <v>4000</v>
      </c>
    </row>
    <row r="82" spans="1:15" ht="68.25" customHeight="1" x14ac:dyDescent="0.2">
      <c r="A82" s="574"/>
      <c r="B82" s="575"/>
      <c r="C82" s="212" t="s">
        <v>77</v>
      </c>
      <c r="D82" s="160" t="s">
        <v>71</v>
      </c>
      <c r="E82" s="203"/>
      <c r="F82" s="160" t="s">
        <v>13</v>
      </c>
      <c r="G82" s="196">
        <v>0</v>
      </c>
      <c r="H82" s="202">
        <v>0</v>
      </c>
      <c r="I82" s="202">
        <v>0</v>
      </c>
      <c r="J82" s="202">
        <v>0</v>
      </c>
      <c r="K82" s="202">
        <v>0</v>
      </c>
      <c r="L82" s="202">
        <v>0</v>
      </c>
      <c r="M82" s="202">
        <v>6500</v>
      </c>
      <c r="N82" s="202">
        <v>0</v>
      </c>
      <c r="O82" s="196">
        <f t="shared" si="0"/>
        <v>6500</v>
      </c>
    </row>
    <row r="83" spans="1:15" ht="69" customHeight="1" x14ac:dyDescent="0.2">
      <c r="A83" s="575"/>
      <c r="B83" s="575"/>
      <c r="C83" s="212" t="s">
        <v>78</v>
      </c>
      <c r="D83" s="160" t="s">
        <v>71</v>
      </c>
      <c r="E83" s="203"/>
      <c r="F83" s="160" t="s">
        <v>13</v>
      </c>
      <c r="G83" s="196">
        <v>0</v>
      </c>
      <c r="H83" s="202">
        <v>0</v>
      </c>
      <c r="I83" s="202">
        <v>0</v>
      </c>
      <c r="J83" s="202">
        <v>0</v>
      </c>
      <c r="K83" s="202">
        <v>0</v>
      </c>
      <c r="L83" s="202">
        <f>10000-2100</f>
        <v>7900</v>
      </c>
      <c r="M83" s="202">
        <v>0</v>
      </c>
      <c r="N83" s="202">
        <v>0</v>
      </c>
      <c r="O83" s="196">
        <f t="shared" si="0"/>
        <v>7900</v>
      </c>
    </row>
    <row r="84" spans="1:15" ht="70.5" customHeight="1" x14ac:dyDescent="0.2">
      <c r="A84" s="197"/>
      <c r="B84" s="130"/>
      <c r="C84" s="212" t="s">
        <v>280</v>
      </c>
      <c r="D84" s="160" t="s">
        <v>71</v>
      </c>
      <c r="E84" s="203"/>
      <c r="F84" s="160" t="s">
        <v>13</v>
      </c>
      <c r="G84" s="196">
        <v>0</v>
      </c>
      <c r="H84" s="202">
        <v>0</v>
      </c>
      <c r="I84" s="202">
        <v>0</v>
      </c>
      <c r="J84" s="202">
        <v>0</v>
      </c>
      <c r="K84" s="202">
        <v>0</v>
      </c>
      <c r="L84" s="202">
        <v>51559</v>
      </c>
      <c r="M84" s="202">
        <v>50074</v>
      </c>
      <c r="N84" s="202">
        <v>51535</v>
      </c>
      <c r="O84" s="196">
        <f t="shared" si="0"/>
        <v>153168</v>
      </c>
    </row>
    <row r="85" spans="1:15" ht="34.5" hidden="1" customHeight="1" x14ac:dyDescent="0.2">
      <c r="A85" s="197"/>
      <c r="B85" s="130"/>
      <c r="C85" s="212" t="s">
        <v>281</v>
      </c>
      <c r="D85" s="160" t="s">
        <v>71</v>
      </c>
      <c r="E85" s="203"/>
      <c r="F85" s="160" t="s">
        <v>213</v>
      </c>
      <c r="G85" s="196">
        <v>0</v>
      </c>
      <c r="H85" s="202">
        <v>0</v>
      </c>
      <c r="I85" s="202">
        <v>0</v>
      </c>
      <c r="J85" s="202">
        <v>0</v>
      </c>
      <c r="K85" s="202">
        <v>0</v>
      </c>
      <c r="L85" s="202">
        <v>0</v>
      </c>
      <c r="M85" s="202">
        <v>0</v>
      </c>
      <c r="N85" s="202">
        <v>0</v>
      </c>
      <c r="O85" s="196">
        <f t="shared" si="0"/>
        <v>0</v>
      </c>
    </row>
    <row r="86" spans="1:15" ht="66.75" customHeight="1" x14ac:dyDescent="0.2">
      <c r="A86" s="197"/>
      <c r="B86" s="130"/>
      <c r="C86" s="212" t="s">
        <v>282</v>
      </c>
      <c r="D86" s="114" t="s">
        <v>71</v>
      </c>
      <c r="E86" s="141"/>
      <c r="F86" s="225" t="s">
        <v>13</v>
      </c>
      <c r="G86" s="196">
        <v>0</v>
      </c>
      <c r="H86" s="202">
        <v>0</v>
      </c>
      <c r="I86" s="202">
        <v>0</v>
      </c>
      <c r="J86" s="202">
        <v>0</v>
      </c>
      <c r="K86" s="202">
        <v>0</v>
      </c>
      <c r="L86" s="202">
        <f>307183.1-2334.6</f>
        <v>304848.5</v>
      </c>
      <c r="M86" s="250">
        <f>361442.2-1000</f>
        <v>360442.2</v>
      </c>
      <c r="N86" s="251">
        <v>449833.8</v>
      </c>
      <c r="O86" s="196">
        <f>SUM(G86:N86)</f>
        <v>1115124.5</v>
      </c>
    </row>
    <row r="87" spans="1:15" ht="66" customHeight="1" x14ac:dyDescent="0.2">
      <c r="A87" s="197"/>
      <c r="B87" s="130"/>
      <c r="C87" s="212" t="s">
        <v>283</v>
      </c>
      <c r="D87" s="114" t="s">
        <v>71</v>
      </c>
      <c r="E87" s="141"/>
      <c r="F87" s="225" t="s">
        <v>13</v>
      </c>
      <c r="G87" s="196">
        <v>0</v>
      </c>
      <c r="H87" s="202">
        <v>0</v>
      </c>
      <c r="I87" s="202">
        <v>0</v>
      </c>
      <c r="J87" s="202">
        <v>0</v>
      </c>
      <c r="K87" s="202">
        <v>0</v>
      </c>
      <c r="L87" s="202">
        <v>0</v>
      </c>
      <c r="M87" s="251">
        <v>2250</v>
      </c>
      <c r="N87" s="251">
        <v>0</v>
      </c>
      <c r="O87" s="196">
        <f>SUM(G87:N87)</f>
        <v>2250</v>
      </c>
    </row>
    <row r="88" spans="1:15" ht="69" customHeight="1" x14ac:dyDescent="0.2">
      <c r="A88" s="197"/>
      <c r="B88" s="130"/>
      <c r="C88" s="212" t="s">
        <v>284</v>
      </c>
      <c r="D88" s="114" t="s">
        <v>285</v>
      </c>
      <c r="E88" s="141"/>
      <c r="F88" s="225" t="s">
        <v>13</v>
      </c>
      <c r="G88" s="196">
        <v>0</v>
      </c>
      <c r="H88" s="202">
        <v>0</v>
      </c>
      <c r="I88" s="202">
        <v>0</v>
      </c>
      <c r="J88" s="202">
        <v>0</v>
      </c>
      <c r="K88" s="202">
        <v>0</v>
      </c>
      <c r="L88" s="202">
        <v>0</v>
      </c>
      <c r="M88" s="196">
        <f>72927.1+5360+16000</f>
        <v>94287.1</v>
      </c>
      <c r="N88" s="196">
        <f>87444.4+18000+9200+4235-2850.5+3000</f>
        <v>119028.9</v>
      </c>
      <c r="O88" s="196">
        <f>SUM(G88:N88)</f>
        <v>213316</v>
      </c>
    </row>
    <row r="89" spans="1:15" ht="66" customHeight="1" x14ac:dyDescent="0.2">
      <c r="A89" s="197"/>
      <c r="B89" s="130"/>
      <c r="C89" s="212" t="s">
        <v>84</v>
      </c>
      <c r="D89" s="114">
        <v>2022</v>
      </c>
      <c r="E89" s="141"/>
      <c r="F89" s="225" t="s">
        <v>13</v>
      </c>
      <c r="G89" s="196">
        <v>0</v>
      </c>
      <c r="H89" s="202">
        <v>0</v>
      </c>
      <c r="I89" s="202">
        <v>0</v>
      </c>
      <c r="J89" s="202">
        <v>0</v>
      </c>
      <c r="K89" s="202">
        <v>0</v>
      </c>
      <c r="L89" s="202">
        <v>0</v>
      </c>
      <c r="M89" s="196">
        <v>1000</v>
      </c>
      <c r="N89" s="196">
        <v>0</v>
      </c>
      <c r="O89" s="196">
        <f>SUM(G89:N89)</f>
        <v>1000</v>
      </c>
    </row>
    <row r="90" spans="1:15" ht="66.75" customHeight="1" x14ac:dyDescent="0.2">
      <c r="A90" s="197"/>
      <c r="B90" s="130"/>
      <c r="C90" s="212" t="s">
        <v>85</v>
      </c>
      <c r="D90" s="114">
        <v>2023</v>
      </c>
      <c r="E90" s="141"/>
      <c r="F90" s="225" t="s">
        <v>13</v>
      </c>
      <c r="G90" s="196">
        <v>0</v>
      </c>
      <c r="H90" s="202">
        <v>0</v>
      </c>
      <c r="I90" s="202">
        <v>0</v>
      </c>
      <c r="J90" s="202">
        <v>0</v>
      </c>
      <c r="K90" s="202">
        <v>0</v>
      </c>
      <c r="L90" s="202">
        <v>0</v>
      </c>
      <c r="M90" s="196">
        <v>0</v>
      </c>
      <c r="N90" s="230">
        <f>150000-25055</f>
        <v>124945</v>
      </c>
      <c r="O90" s="196">
        <f>SUM(G90:N90)</f>
        <v>124945</v>
      </c>
    </row>
    <row r="91" spans="1:15" ht="65.25" customHeight="1" x14ac:dyDescent="0.2">
      <c r="A91" s="652" t="s">
        <v>91</v>
      </c>
      <c r="B91" s="653"/>
      <c r="C91" s="252"/>
      <c r="D91" s="253"/>
      <c r="E91" s="254"/>
      <c r="F91" s="207" t="s">
        <v>13</v>
      </c>
      <c r="G91" s="255">
        <f>G13+G16+G17+G18+G19+G20+G21+G22+G23+G27+G28+G29+G30+G31+G32+G33+G34+G35+G39+G40+G41+G42+G43+G47+G48+G49+G50+G51++G67+G74+G75+G79+G80+G81+G82+G83+G84+G86+G88+G63+G68+G69+G70+G71+G72+G73+G90+G87+G89</f>
        <v>115838.47999999998</v>
      </c>
      <c r="H91" s="255">
        <f t="shared" ref="H91:M91" si="4">H13+H16+H17+H18+H19+H20+H21+H22+H23+H27+H28+H29+H30+H31+H32+H33+H34+H35+H39+H40+H41+H42+H43+H47+H48+H49+H50+H51++H67+H74+H75+H79+H80+H81+H82+H83+H84+H86+H88+H63+H68+H69+H70+H71+H72+H73+H90+H87+H89</f>
        <v>214504.09999999998</v>
      </c>
      <c r="I91" s="255">
        <f t="shared" si="4"/>
        <v>240425.5</v>
      </c>
      <c r="J91" s="255">
        <f t="shared" si="4"/>
        <v>295414.2</v>
      </c>
      <c r="K91" s="255">
        <f t="shared" si="4"/>
        <v>449477.26</v>
      </c>
      <c r="L91" s="255">
        <f t="shared" si="4"/>
        <v>628078.5</v>
      </c>
      <c r="M91" s="255">
        <f t="shared" si="4"/>
        <v>664788.30000000005</v>
      </c>
      <c r="N91" s="255">
        <f>N13+N16+N17+N18+N19+N20+N21+N22+N23+N27+N28+N29+N30+N31+N32+N33+N34+N35+N39+N40+N41+N42+N43+N47+N48+N49+N50+N51++N67+N74+N75+N79+N80+N81+N82+N83+N84+N86+N88+N63+N68+N69+N70+N71+N72+N73+N90+N87+N89</f>
        <v>854868.20000000007</v>
      </c>
      <c r="O91" s="255">
        <f>O13+O16+O17+O18+O19+O20+O21+O22+O23+O27+O28+O29+O30+O31+O32+O33+O34+O35+O39+O40+O41+O42+O43+O47+O48+O49+O50+O51++O67+O74+O75+O79+O80+O81+O82+O83+O84+O86+O88+O63+O68+O69+O70+O71+O72+O73+O90+O87+O89</f>
        <v>3463394.54</v>
      </c>
    </row>
    <row r="92" spans="1:15" ht="32.25" customHeight="1" x14ac:dyDescent="0.2">
      <c r="A92" s="640">
        <v>7</v>
      </c>
      <c r="B92" s="640"/>
      <c r="C92" s="640"/>
      <c r="D92" s="640"/>
      <c r="E92" s="640"/>
      <c r="F92" s="640"/>
      <c r="G92" s="640"/>
      <c r="H92" s="640"/>
      <c r="I92" s="640"/>
      <c r="J92" s="640"/>
      <c r="K92" s="640"/>
      <c r="L92" s="640"/>
      <c r="M92" s="640"/>
      <c r="N92" s="640"/>
      <c r="O92" s="640"/>
    </row>
    <row r="93" spans="1:15" ht="28.5" customHeight="1" x14ac:dyDescent="0.2">
      <c r="A93" s="642" t="s">
        <v>255</v>
      </c>
      <c r="B93" s="643"/>
      <c r="C93" s="643"/>
      <c r="D93" s="643"/>
      <c r="E93" s="643"/>
      <c r="F93" s="643"/>
      <c r="G93" s="643"/>
      <c r="H93" s="643"/>
      <c r="I93" s="643"/>
      <c r="J93" s="643"/>
      <c r="K93" s="643"/>
      <c r="L93" s="643"/>
      <c r="M93" s="643"/>
      <c r="N93" s="643"/>
      <c r="O93" s="643"/>
    </row>
    <row r="94" spans="1:15" ht="34.5" customHeight="1" x14ac:dyDescent="0.2">
      <c r="A94" s="256">
        <v>1</v>
      </c>
      <c r="B94" s="257">
        <v>2</v>
      </c>
      <c r="C94" s="258">
        <v>3</v>
      </c>
      <c r="D94" s="258">
        <v>4</v>
      </c>
      <c r="E94" s="258">
        <v>5</v>
      </c>
      <c r="F94" s="193">
        <v>6</v>
      </c>
      <c r="G94" s="193">
        <v>7</v>
      </c>
      <c r="H94" s="193">
        <v>8</v>
      </c>
      <c r="I94" s="193">
        <v>9</v>
      </c>
      <c r="J94" s="193">
        <v>10</v>
      </c>
      <c r="K94" s="193">
        <v>11</v>
      </c>
      <c r="L94" s="193">
        <v>12</v>
      </c>
      <c r="M94" s="193">
        <v>13</v>
      </c>
      <c r="N94" s="193">
        <v>14</v>
      </c>
      <c r="O94" s="193">
        <v>15</v>
      </c>
    </row>
    <row r="95" spans="1:15" ht="71.25" customHeight="1" x14ac:dyDescent="0.2">
      <c r="A95" s="259">
        <v>2</v>
      </c>
      <c r="B95" s="560" t="s">
        <v>92</v>
      </c>
      <c r="C95" s="260" t="s">
        <v>93</v>
      </c>
      <c r="D95" s="245" t="s">
        <v>11</v>
      </c>
      <c r="E95" s="626" t="s">
        <v>94</v>
      </c>
      <c r="F95" s="225" t="s">
        <v>13</v>
      </c>
      <c r="G95" s="196">
        <v>134514.32</v>
      </c>
      <c r="H95" s="196">
        <f>146683.2+8661.9</f>
        <v>155345.1</v>
      </c>
      <c r="I95" s="196">
        <v>209068.1</v>
      </c>
      <c r="J95" s="196">
        <v>224749.2</v>
      </c>
      <c r="K95" s="196">
        <v>310495.3</v>
      </c>
      <c r="L95" s="196">
        <f>24514+5642.2</f>
        <v>30156.2</v>
      </c>
      <c r="M95" s="196">
        <v>0</v>
      </c>
      <c r="N95" s="196">
        <v>0</v>
      </c>
      <c r="O95" s="196">
        <f t="shared" ref="O95:O158" si="5">SUM(G95:N95)</f>
        <v>1064328.22</v>
      </c>
    </row>
    <row r="96" spans="1:15" ht="88.5" customHeight="1" x14ac:dyDescent="0.2">
      <c r="A96" s="259"/>
      <c r="B96" s="560"/>
      <c r="C96" s="129" t="s">
        <v>286</v>
      </c>
      <c r="D96" s="122" t="s">
        <v>29</v>
      </c>
      <c r="E96" s="626"/>
      <c r="F96" s="225" t="s">
        <v>13</v>
      </c>
      <c r="G96" s="196">
        <v>3000</v>
      </c>
      <c r="H96" s="196">
        <v>12000</v>
      </c>
      <c r="I96" s="196">
        <v>3745</v>
      </c>
      <c r="J96" s="196">
        <v>8100</v>
      </c>
      <c r="K96" s="196">
        <v>9720</v>
      </c>
      <c r="L96" s="196">
        <f>0+979.5</f>
        <v>979.5</v>
      </c>
      <c r="M96" s="196">
        <v>0</v>
      </c>
      <c r="N96" s="196">
        <v>0</v>
      </c>
      <c r="O96" s="196">
        <f t="shared" si="5"/>
        <v>37544.5</v>
      </c>
    </row>
    <row r="97" spans="1:15" ht="86.25" customHeight="1" x14ac:dyDescent="0.2">
      <c r="A97" s="259"/>
      <c r="B97" s="130"/>
      <c r="C97" s="155" t="s">
        <v>287</v>
      </c>
      <c r="D97" s="114" t="s">
        <v>18</v>
      </c>
      <c r="E97" s="132" t="s">
        <v>97</v>
      </c>
      <c r="F97" s="225" t="s">
        <v>13</v>
      </c>
      <c r="G97" s="202">
        <v>0</v>
      </c>
      <c r="H97" s="196">
        <f>498.2+2700</f>
        <v>3198.2</v>
      </c>
      <c r="I97" s="196">
        <v>0</v>
      </c>
      <c r="J97" s="196">
        <v>2200</v>
      </c>
      <c r="K97" s="196">
        <v>5500</v>
      </c>
      <c r="L97" s="196">
        <v>0</v>
      </c>
      <c r="M97" s="196">
        <v>0</v>
      </c>
      <c r="N97" s="196">
        <v>0</v>
      </c>
      <c r="O97" s="196">
        <f t="shared" si="5"/>
        <v>10898.2</v>
      </c>
    </row>
    <row r="98" spans="1:15" ht="80.25" customHeight="1" x14ac:dyDescent="0.2">
      <c r="A98" s="141"/>
      <c r="B98" s="261"/>
      <c r="C98" s="155" t="s">
        <v>288</v>
      </c>
      <c r="D98" s="114" t="s">
        <v>29</v>
      </c>
      <c r="E98" s="132"/>
      <c r="F98" s="160" t="s">
        <v>13</v>
      </c>
      <c r="G98" s="196">
        <v>909</v>
      </c>
      <c r="H98" s="196">
        <v>1500</v>
      </c>
      <c r="I98" s="196">
        <v>1700</v>
      </c>
      <c r="J98" s="196">
        <v>1354.7</v>
      </c>
      <c r="K98" s="196">
        <v>1339.3</v>
      </c>
      <c r="L98" s="196">
        <f>0+564</f>
        <v>564</v>
      </c>
      <c r="M98" s="196">
        <v>0</v>
      </c>
      <c r="N98" s="196">
        <v>0</v>
      </c>
      <c r="O98" s="196">
        <f t="shared" si="5"/>
        <v>7367</v>
      </c>
    </row>
    <row r="99" spans="1:15" ht="112.5" customHeight="1" x14ac:dyDescent="0.2">
      <c r="A99" s="141"/>
      <c r="B99" s="261"/>
      <c r="C99" s="159" t="s">
        <v>289</v>
      </c>
      <c r="D99" s="114" t="s">
        <v>29</v>
      </c>
      <c r="E99" s="132"/>
      <c r="F99" s="160" t="s">
        <v>13</v>
      </c>
      <c r="G99" s="202">
        <v>0</v>
      </c>
      <c r="H99" s="202">
        <v>0</v>
      </c>
      <c r="I99" s="202">
        <v>0</v>
      </c>
      <c r="J99" s="196">
        <v>12867</v>
      </c>
      <c r="K99" s="202">
        <v>0</v>
      </c>
      <c r="L99" s="202">
        <v>0</v>
      </c>
      <c r="M99" s="202">
        <v>16000</v>
      </c>
      <c r="N99" s="202">
        <v>0</v>
      </c>
      <c r="O99" s="196">
        <f t="shared" si="5"/>
        <v>28867</v>
      </c>
    </row>
    <row r="100" spans="1:15" ht="84.75" customHeight="1" x14ac:dyDescent="0.2">
      <c r="A100" s="141"/>
      <c r="B100" s="261"/>
      <c r="C100" s="159" t="s">
        <v>290</v>
      </c>
      <c r="D100" s="114" t="s">
        <v>29</v>
      </c>
      <c r="E100" s="262"/>
      <c r="F100" s="160" t="s">
        <v>13</v>
      </c>
      <c r="G100" s="202">
        <v>0</v>
      </c>
      <c r="H100" s="196">
        <v>16000</v>
      </c>
      <c r="I100" s="202">
        <v>0</v>
      </c>
      <c r="J100" s="202">
        <v>0</v>
      </c>
      <c r="K100" s="202">
        <v>7218</v>
      </c>
      <c r="L100" s="202">
        <v>20000</v>
      </c>
      <c r="M100" s="202">
        <v>0</v>
      </c>
      <c r="N100" s="202">
        <v>0</v>
      </c>
      <c r="O100" s="196">
        <f t="shared" si="5"/>
        <v>43218</v>
      </c>
    </row>
    <row r="101" spans="1:15" ht="168.75" customHeight="1" x14ac:dyDescent="0.2">
      <c r="A101" s="141"/>
      <c r="B101" s="263"/>
      <c r="C101" s="264" t="s">
        <v>291</v>
      </c>
      <c r="D101" s="160" t="s">
        <v>29</v>
      </c>
      <c r="E101" s="213"/>
      <c r="F101" s="160" t="s">
        <v>13</v>
      </c>
      <c r="G101" s="202">
        <v>0</v>
      </c>
      <c r="H101" s="196">
        <v>6000</v>
      </c>
      <c r="I101" s="202">
        <v>0</v>
      </c>
      <c r="J101" s="202">
        <v>8000</v>
      </c>
      <c r="K101" s="202">
        <v>0</v>
      </c>
      <c r="L101" s="202">
        <v>7042</v>
      </c>
      <c r="M101" s="202">
        <v>0</v>
      </c>
      <c r="N101" s="202">
        <v>0</v>
      </c>
      <c r="O101" s="196">
        <f t="shared" si="5"/>
        <v>21042</v>
      </c>
    </row>
    <row r="102" spans="1:15" ht="95.25" customHeight="1" x14ac:dyDescent="0.2">
      <c r="A102" s="265"/>
      <c r="B102" s="266"/>
      <c r="C102" s="167" t="s">
        <v>102</v>
      </c>
      <c r="D102" s="207" t="s">
        <v>18</v>
      </c>
      <c r="E102" s="208"/>
      <c r="F102" s="207" t="s">
        <v>13</v>
      </c>
      <c r="G102" s="267">
        <v>0</v>
      </c>
      <c r="H102" s="242">
        <v>143</v>
      </c>
      <c r="I102" s="196">
        <v>195</v>
      </c>
      <c r="J102" s="196">
        <v>105</v>
      </c>
      <c r="K102" s="196">
        <v>105</v>
      </c>
      <c r="L102" s="196">
        <v>0</v>
      </c>
      <c r="M102" s="196">
        <v>0</v>
      </c>
      <c r="N102" s="196">
        <v>0</v>
      </c>
      <c r="O102" s="196">
        <f t="shared" si="5"/>
        <v>548</v>
      </c>
    </row>
    <row r="103" spans="1:15" ht="33.75" customHeight="1" x14ac:dyDescent="0.2">
      <c r="A103" s="640">
        <v>8</v>
      </c>
      <c r="B103" s="640"/>
      <c r="C103" s="640"/>
      <c r="D103" s="640"/>
      <c r="E103" s="640"/>
      <c r="F103" s="640"/>
      <c r="G103" s="640"/>
      <c r="H103" s="640"/>
      <c r="I103" s="640"/>
      <c r="J103" s="640"/>
      <c r="K103" s="640"/>
      <c r="L103" s="640"/>
      <c r="M103" s="640"/>
      <c r="N103" s="640"/>
      <c r="O103" s="640"/>
    </row>
    <row r="104" spans="1:15" ht="24.75" customHeight="1" x14ac:dyDescent="0.2">
      <c r="A104" s="642" t="s">
        <v>255</v>
      </c>
      <c r="B104" s="643"/>
      <c r="C104" s="643"/>
      <c r="D104" s="643"/>
      <c r="E104" s="643"/>
      <c r="F104" s="643"/>
      <c r="G104" s="643"/>
      <c r="H104" s="643"/>
      <c r="I104" s="643"/>
      <c r="J104" s="643"/>
      <c r="K104" s="643"/>
      <c r="L104" s="643"/>
      <c r="M104" s="643"/>
      <c r="N104" s="643"/>
      <c r="O104" s="643"/>
    </row>
    <row r="105" spans="1:15" ht="32.25" customHeight="1" x14ac:dyDescent="0.2">
      <c r="A105" s="193">
        <v>1</v>
      </c>
      <c r="B105" s="193">
        <v>2</v>
      </c>
      <c r="C105" s="193">
        <v>3</v>
      </c>
      <c r="D105" s="193">
        <v>4</v>
      </c>
      <c r="E105" s="193">
        <v>5</v>
      </c>
      <c r="F105" s="193">
        <v>6</v>
      </c>
      <c r="G105" s="193">
        <v>7</v>
      </c>
      <c r="H105" s="193">
        <v>8</v>
      </c>
      <c r="I105" s="193">
        <v>9</v>
      </c>
      <c r="J105" s="193">
        <v>10</v>
      </c>
      <c r="K105" s="193">
        <v>11</v>
      </c>
      <c r="L105" s="193">
        <v>12</v>
      </c>
      <c r="M105" s="193">
        <v>13</v>
      </c>
      <c r="N105" s="193">
        <v>14</v>
      </c>
      <c r="O105" s="193">
        <v>15</v>
      </c>
    </row>
    <row r="106" spans="1:15" ht="66.75" customHeight="1" x14ac:dyDescent="0.2">
      <c r="A106" s="141"/>
      <c r="B106" s="263"/>
      <c r="C106" s="264" t="s">
        <v>292</v>
      </c>
      <c r="D106" s="160" t="s">
        <v>18</v>
      </c>
      <c r="E106" s="213"/>
      <c r="F106" s="160" t="s">
        <v>13</v>
      </c>
      <c r="G106" s="202">
        <v>0</v>
      </c>
      <c r="H106" s="196">
        <v>1530.8</v>
      </c>
      <c r="I106" s="196">
        <v>490</v>
      </c>
      <c r="J106" s="196">
        <v>890</v>
      </c>
      <c r="K106" s="196">
        <v>0</v>
      </c>
      <c r="L106" s="196">
        <v>0</v>
      </c>
      <c r="M106" s="196">
        <v>0</v>
      </c>
      <c r="N106" s="196">
        <v>0</v>
      </c>
      <c r="O106" s="196">
        <f t="shared" si="5"/>
        <v>2910.8</v>
      </c>
    </row>
    <row r="107" spans="1:15" ht="66.75" customHeight="1" x14ac:dyDescent="0.2">
      <c r="A107" s="141"/>
      <c r="B107" s="263"/>
      <c r="C107" s="264" t="s">
        <v>104</v>
      </c>
      <c r="D107" s="160" t="s">
        <v>29</v>
      </c>
      <c r="E107" s="213"/>
      <c r="F107" s="160" t="s">
        <v>13</v>
      </c>
      <c r="G107" s="202">
        <v>0</v>
      </c>
      <c r="H107" s="196">
        <v>8085</v>
      </c>
      <c r="I107" s="196">
        <v>290.89999999999998</v>
      </c>
      <c r="J107" s="196">
        <v>7367</v>
      </c>
      <c r="K107" s="196">
        <v>8499.5</v>
      </c>
      <c r="L107" s="196">
        <v>62100</v>
      </c>
      <c r="M107" s="196">
        <v>66000</v>
      </c>
      <c r="N107" s="196">
        <v>72600</v>
      </c>
      <c r="O107" s="196">
        <f t="shared" si="5"/>
        <v>224942.4</v>
      </c>
    </row>
    <row r="108" spans="1:15" ht="70.5" customHeight="1" x14ac:dyDescent="0.2">
      <c r="A108" s="141"/>
      <c r="B108" s="130"/>
      <c r="C108" s="268" t="s">
        <v>293</v>
      </c>
      <c r="D108" s="122" t="s">
        <v>18</v>
      </c>
      <c r="E108" s="132"/>
      <c r="F108" s="225" t="s">
        <v>13</v>
      </c>
      <c r="G108" s="202">
        <v>0</v>
      </c>
      <c r="H108" s="196">
        <f>552+228</f>
        <v>780</v>
      </c>
      <c r="I108" s="196">
        <f>1936+2784</f>
        <v>4720</v>
      </c>
      <c r="J108" s="196">
        <f>1936+2784</f>
        <v>4720</v>
      </c>
      <c r="K108" s="196">
        <v>4720</v>
      </c>
      <c r="L108" s="196">
        <v>0</v>
      </c>
      <c r="M108" s="196">
        <v>0</v>
      </c>
      <c r="N108" s="196">
        <v>0</v>
      </c>
      <c r="O108" s="196">
        <f t="shared" si="5"/>
        <v>14940</v>
      </c>
    </row>
    <row r="109" spans="1:15" ht="71.25" customHeight="1" x14ac:dyDescent="0.2">
      <c r="A109" s="203"/>
      <c r="B109" s="269"/>
      <c r="C109" s="264" t="s">
        <v>294</v>
      </c>
      <c r="D109" s="114" t="s">
        <v>18</v>
      </c>
      <c r="E109" s="132"/>
      <c r="F109" s="225" t="s">
        <v>13</v>
      </c>
      <c r="G109" s="202">
        <v>0</v>
      </c>
      <c r="H109" s="196">
        <v>176</v>
      </c>
      <c r="I109" s="196">
        <v>500</v>
      </c>
      <c r="J109" s="196">
        <v>0</v>
      </c>
      <c r="K109" s="196">
        <v>0</v>
      </c>
      <c r="L109" s="196">
        <v>0</v>
      </c>
      <c r="M109" s="196">
        <v>0</v>
      </c>
      <c r="N109" s="196">
        <v>0</v>
      </c>
      <c r="O109" s="196">
        <f t="shared" si="5"/>
        <v>676</v>
      </c>
    </row>
    <row r="110" spans="1:15" ht="138.75" customHeight="1" x14ac:dyDescent="0.2">
      <c r="A110" s="270"/>
      <c r="B110" s="271"/>
      <c r="C110" s="212" t="s">
        <v>295</v>
      </c>
      <c r="D110" s="114">
        <v>2019</v>
      </c>
      <c r="E110" s="262"/>
      <c r="F110" s="160" t="s">
        <v>13</v>
      </c>
      <c r="G110" s="202">
        <v>0</v>
      </c>
      <c r="H110" s="196">
        <v>0</v>
      </c>
      <c r="I110" s="196">
        <v>0</v>
      </c>
      <c r="J110" s="196">
        <v>240</v>
      </c>
      <c r="K110" s="196">
        <v>0</v>
      </c>
      <c r="L110" s="196">
        <v>0</v>
      </c>
      <c r="M110" s="196">
        <v>0</v>
      </c>
      <c r="N110" s="196">
        <v>0</v>
      </c>
      <c r="O110" s="196">
        <f t="shared" si="5"/>
        <v>240</v>
      </c>
    </row>
    <row r="111" spans="1:15" ht="69" customHeight="1" x14ac:dyDescent="0.2">
      <c r="A111" s="203"/>
      <c r="B111" s="269"/>
      <c r="C111" s="201" t="s">
        <v>107</v>
      </c>
      <c r="D111" s="160">
        <v>2020</v>
      </c>
      <c r="E111" s="213"/>
      <c r="F111" s="160" t="s">
        <v>13</v>
      </c>
      <c r="G111" s="202">
        <v>0</v>
      </c>
      <c r="H111" s="196">
        <v>0</v>
      </c>
      <c r="I111" s="196">
        <v>0</v>
      </c>
      <c r="J111" s="196">
        <v>0</v>
      </c>
      <c r="K111" s="196">
        <v>1334.27</v>
      </c>
      <c r="L111" s="196">
        <v>0</v>
      </c>
      <c r="M111" s="196">
        <v>0</v>
      </c>
      <c r="N111" s="196">
        <v>0</v>
      </c>
      <c r="O111" s="196">
        <f t="shared" si="5"/>
        <v>1334.27</v>
      </c>
    </row>
    <row r="112" spans="1:15" ht="67.5" customHeight="1" x14ac:dyDescent="0.2">
      <c r="A112" s="203"/>
      <c r="B112" s="269"/>
      <c r="C112" s="201" t="s">
        <v>296</v>
      </c>
      <c r="D112" s="160" t="s">
        <v>109</v>
      </c>
      <c r="E112" s="213"/>
      <c r="F112" s="160" t="s">
        <v>13</v>
      </c>
      <c r="G112" s="202">
        <v>0</v>
      </c>
      <c r="H112" s="196">
        <v>0</v>
      </c>
      <c r="I112" s="196">
        <v>0</v>
      </c>
      <c r="J112" s="196">
        <v>0</v>
      </c>
      <c r="K112" s="196">
        <v>3500</v>
      </c>
      <c r="L112" s="196">
        <f>4500</f>
        <v>4500</v>
      </c>
      <c r="M112" s="196">
        <f>0+4500</f>
        <v>4500</v>
      </c>
      <c r="N112" s="196">
        <v>4800</v>
      </c>
      <c r="O112" s="196">
        <f t="shared" si="5"/>
        <v>17300</v>
      </c>
    </row>
    <row r="113" spans="1:15" ht="120" customHeight="1" x14ac:dyDescent="0.2">
      <c r="A113" s="203"/>
      <c r="B113" s="650"/>
      <c r="C113" s="201" t="s">
        <v>297</v>
      </c>
      <c r="D113" s="160">
        <v>2019</v>
      </c>
      <c r="E113" s="213"/>
      <c r="F113" s="160" t="s">
        <v>13</v>
      </c>
      <c r="G113" s="202">
        <v>0</v>
      </c>
      <c r="H113" s="196">
        <v>0</v>
      </c>
      <c r="I113" s="196">
        <v>0</v>
      </c>
      <c r="J113" s="196">
        <v>5200</v>
      </c>
      <c r="K113" s="196">
        <v>0</v>
      </c>
      <c r="L113" s="196">
        <v>0</v>
      </c>
      <c r="M113" s="196">
        <v>0</v>
      </c>
      <c r="N113" s="196">
        <v>0</v>
      </c>
      <c r="O113" s="196">
        <f t="shared" si="5"/>
        <v>5200</v>
      </c>
    </row>
    <row r="114" spans="1:15" ht="135" customHeight="1" x14ac:dyDescent="0.2">
      <c r="A114" s="248"/>
      <c r="B114" s="651"/>
      <c r="C114" s="206" t="s">
        <v>298</v>
      </c>
      <c r="D114" s="207" t="s">
        <v>61</v>
      </c>
      <c r="E114" s="208"/>
      <c r="F114" s="207" t="s">
        <v>13</v>
      </c>
      <c r="G114" s="267">
        <v>0</v>
      </c>
      <c r="H114" s="242">
        <v>0</v>
      </c>
      <c r="I114" s="242">
        <v>0</v>
      </c>
      <c r="J114" s="196">
        <v>400</v>
      </c>
      <c r="K114" s="196">
        <v>0</v>
      </c>
      <c r="L114" s="196">
        <v>69.55</v>
      </c>
      <c r="M114" s="196">
        <v>0</v>
      </c>
      <c r="N114" s="196">
        <v>0</v>
      </c>
      <c r="O114" s="196">
        <f t="shared" si="5"/>
        <v>469.55</v>
      </c>
    </row>
    <row r="115" spans="1:15" ht="21" customHeight="1" x14ac:dyDescent="0.2">
      <c r="A115" s="640">
        <v>9</v>
      </c>
      <c r="B115" s="640"/>
      <c r="C115" s="640"/>
      <c r="D115" s="640"/>
      <c r="E115" s="640"/>
      <c r="F115" s="640"/>
      <c r="G115" s="640"/>
      <c r="H115" s="640"/>
      <c r="I115" s="640"/>
      <c r="J115" s="640"/>
      <c r="K115" s="640"/>
      <c r="L115" s="640"/>
      <c r="M115" s="640"/>
      <c r="N115" s="640"/>
      <c r="O115" s="640"/>
    </row>
    <row r="116" spans="1:15" ht="27" customHeight="1" x14ac:dyDescent="0.2">
      <c r="A116" s="642" t="s">
        <v>255</v>
      </c>
      <c r="B116" s="643"/>
      <c r="C116" s="643"/>
      <c r="D116" s="643"/>
      <c r="E116" s="643"/>
      <c r="F116" s="643"/>
      <c r="G116" s="643"/>
      <c r="H116" s="643"/>
      <c r="I116" s="643"/>
      <c r="J116" s="643"/>
      <c r="K116" s="643"/>
      <c r="L116" s="643"/>
      <c r="M116" s="643"/>
      <c r="N116" s="643"/>
      <c r="O116" s="643"/>
    </row>
    <row r="117" spans="1:15" ht="32.25" customHeight="1" x14ac:dyDescent="0.2">
      <c r="A117" s="193">
        <v>1</v>
      </c>
      <c r="B117" s="193">
        <v>2</v>
      </c>
      <c r="C117" s="193">
        <v>3</v>
      </c>
      <c r="D117" s="193">
        <v>4</v>
      </c>
      <c r="E117" s="193">
        <v>5</v>
      </c>
      <c r="F117" s="193">
        <v>6</v>
      </c>
      <c r="G117" s="193">
        <v>7</v>
      </c>
      <c r="H117" s="193">
        <v>8</v>
      </c>
      <c r="I117" s="193">
        <v>9</v>
      </c>
      <c r="J117" s="193">
        <v>10</v>
      </c>
      <c r="K117" s="193">
        <v>11</v>
      </c>
      <c r="L117" s="193">
        <v>12</v>
      </c>
      <c r="M117" s="193">
        <v>13</v>
      </c>
      <c r="N117" s="193">
        <v>14</v>
      </c>
      <c r="O117" s="193">
        <v>15</v>
      </c>
    </row>
    <row r="118" spans="1:15" ht="86.25" customHeight="1" x14ac:dyDescent="0.2">
      <c r="A118" s="203"/>
      <c r="B118" s="269"/>
      <c r="C118" s="272" t="s">
        <v>299</v>
      </c>
      <c r="D118" s="160" t="s">
        <v>68</v>
      </c>
      <c r="E118" s="213"/>
      <c r="F118" s="160" t="s">
        <v>13</v>
      </c>
      <c r="G118" s="202">
        <v>0</v>
      </c>
      <c r="H118" s="196">
        <v>0</v>
      </c>
      <c r="I118" s="196">
        <v>0</v>
      </c>
      <c r="J118" s="196">
        <v>30000</v>
      </c>
      <c r="K118" s="196">
        <v>0</v>
      </c>
      <c r="L118" s="196">
        <v>0</v>
      </c>
      <c r="M118" s="196">
        <v>0</v>
      </c>
      <c r="N118" s="196">
        <v>0</v>
      </c>
      <c r="O118" s="196">
        <f t="shared" si="5"/>
        <v>30000</v>
      </c>
    </row>
    <row r="119" spans="1:15" ht="87" customHeight="1" x14ac:dyDescent="0.2">
      <c r="A119" s="259"/>
      <c r="B119" s="130"/>
      <c r="C119" s="273" t="s">
        <v>300</v>
      </c>
      <c r="D119" s="122" t="s">
        <v>61</v>
      </c>
      <c r="E119" s="132"/>
      <c r="F119" s="225" t="s">
        <v>13</v>
      </c>
      <c r="G119" s="202">
        <v>0</v>
      </c>
      <c r="H119" s="196">
        <v>0</v>
      </c>
      <c r="I119" s="196">
        <v>0</v>
      </c>
      <c r="J119" s="196">
        <v>7000</v>
      </c>
      <c r="K119" s="196">
        <v>13389</v>
      </c>
      <c r="L119" s="196">
        <f>0+4455</f>
        <v>4455</v>
      </c>
      <c r="M119" s="196">
        <f>0+2600+2000</f>
        <v>4600</v>
      </c>
      <c r="N119" s="196">
        <v>0</v>
      </c>
      <c r="O119" s="196">
        <f t="shared" si="5"/>
        <v>29444</v>
      </c>
    </row>
    <row r="120" spans="1:15" ht="120" customHeight="1" x14ac:dyDescent="0.2">
      <c r="A120" s="270"/>
      <c r="B120" s="271"/>
      <c r="C120" s="212" t="s">
        <v>114</v>
      </c>
      <c r="D120" s="114" t="s">
        <v>109</v>
      </c>
      <c r="E120" s="132"/>
      <c r="F120" s="225" t="s">
        <v>13</v>
      </c>
      <c r="G120" s="202">
        <v>0</v>
      </c>
      <c r="H120" s="202">
        <v>0</v>
      </c>
      <c r="I120" s="202">
        <v>0</v>
      </c>
      <c r="J120" s="202">
        <v>0</v>
      </c>
      <c r="K120" s="196">
        <v>200</v>
      </c>
      <c r="L120" s="196">
        <v>97.64</v>
      </c>
      <c r="M120" s="196">
        <v>0</v>
      </c>
      <c r="N120" s="196">
        <v>0</v>
      </c>
      <c r="O120" s="196">
        <f t="shared" si="5"/>
        <v>297.64</v>
      </c>
    </row>
    <row r="121" spans="1:15" ht="75" customHeight="1" x14ac:dyDescent="0.2">
      <c r="A121" s="203"/>
      <c r="B121" s="269"/>
      <c r="C121" s="272" t="s">
        <v>115</v>
      </c>
      <c r="D121" s="160">
        <v>2020</v>
      </c>
      <c r="E121" s="213"/>
      <c r="F121" s="160" t="s">
        <v>13</v>
      </c>
      <c r="G121" s="202">
        <v>0</v>
      </c>
      <c r="H121" s="196">
        <v>0</v>
      </c>
      <c r="I121" s="196">
        <v>0</v>
      </c>
      <c r="J121" s="196">
        <v>0</v>
      </c>
      <c r="K121" s="196">
        <v>50000</v>
      </c>
      <c r="L121" s="196">
        <v>0</v>
      </c>
      <c r="M121" s="196">
        <v>0</v>
      </c>
      <c r="N121" s="196">
        <v>0</v>
      </c>
      <c r="O121" s="196">
        <f t="shared" si="5"/>
        <v>50000</v>
      </c>
    </row>
    <row r="122" spans="1:15" ht="71.25" customHeight="1" x14ac:dyDescent="0.2">
      <c r="A122" s="203"/>
      <c r="B122" s="269"/>
      <c r="C122" s="272" t="s">
        <v>301</v>
      </c>
      <c r="D122" s="160">
        <v>2020</v>
      </c>
      <c r="E122" s="213"/>
      <c r="F122" s="160" t="s">
        <v>13</v>
      </c>
      <c r="G122" s="202">
        <v>0</v>
      </c>
      <c r="H122" s="196">
        <v>0</v>
      </c>
      <c r="I122" s="196">
        <v>0</v>
      </c>
      <c r="J122" s="196">
        <v>0</v>
      </c>
      <c r="K122" s="196">
        <v>690</v>
      </c>
      <c r="L122" s="196">
        <v>0</v>
      </c>
      <c r="M122" s="196">
        <v>0</v>
      </c>
      <c r="N122" s="196">
        <v>0</v>
      </c>
      <c r="O122" s="196">
        <f t="shared" si="5"/>
        <v>690</v>
      </c>
    </row>
    <row r="123" spans="1:15" ht="84" customHeight="1" x14ac:dyDescent="0.2">
      <c r="A123" s="203"/>
      <c r="B123" s="269"/>
      <c r="C123" s="201" t="s">
        <v>302</v>
      </c>
      <c r="D123" s="160">
        <v>2020</v>
      </c>
      <c r="E123" s="213"/>
      <c r="F123" s="160" t="s">
        <v>13</v>
      </c>
      <c r="G123" s="202">
        <v>0</v>
      </c>
      <c r="H123" s="196">
        <v>0</v>
      </c>
      <c r="I123" s="196">
        <v>0</v>
      </c>
      <c r="J123" s="196">
        <v>0</v>
      </c>
      <c r="K123" s="196">
        <v>900</v>
      </c>
      <c r="L123" s="196">
        <v>0</v>
      </c>
      <c r="M123" s="196">
        <v>0</v>
      </c>
      <c r="N123" s="196">
        <v>0</v>
      </c>
      <c r="O123" s="196">
        <f t="shared" si="5"/>
        <v>900</v>
      </c>
    </row>
    <row r="124" spans="1:15" ht="121.5" customHeight="1" x14ac:dyDescent="0.2">
      <c r="A124" s="274"/>
      <c r="B124" s="275"/>
      <c r="C124" s="201" t="s">
        <v>303</v>
      </c>
      <c r="D124" s="160" t="s">
        <v>109</v>
      </c>
      <c r="E124" s="213"/>
      <c r="F124" s="160" t="s">
        <v>13</v>
      </c>
      <c r="G124" s="202">
        <v>0</v>
      </c>
      <c r="H124" s="196">
        <v>0</v>
      </c>
      <c r="I124" s="196">
        <v>0</v>
      </c>
      <c r="J124" s="196">
        <v>0</v>
      </c>
      <c r="K124" s="196">
        <v>2334.5</v>
      </c>
      <c r="L124" s="196">
        <v>1892.3</v>
      </c>
      <c r="M124" s="196">
        <v>0</v>
      </c>
      <c r="N124" s="196">
        <v>0</v>
      </c>
      <c r="O124" s="196">
        <f t="shared" si="5"/>
        <v>4226.8</v>
      </c>
    </row>
    <row r="125" spans="1:15" ht="72" customHeight="1" x14ac:dyDescent="0.2">
      <c r="A125" s="274"/>
      <c r="B125" s="275"/>
      <c r="C125" s="201" t="s">
        <v>304</v>
      </c>
      <c r="D125" s="160" t="s">
        <v>109</v>
      </c>
      <c r="E125" s="203"/>
      <c r="F125" s="160" t="s">
        <v>13</v>
      </c>
      <c r="G125" s="202">
        <v>0</v>
      </c>
      <c r="H125" s="196">
        <v>0</v>
      </c>
      <c r="I125" s="196">
        <v>0</v>
      </c>
      <c r="J125" s="196">
        <v>0</v>
      </c>
      <c r="K125" s="196">
        <v>1168.73</v>
      </c>
      <c r="L125" s="196">
        <f>0+320.8</f>
        <v>320.8</v>
      </c>
      <c r="M125" s="196">
        <v>0</v>
      </c>
      <c r="N125" s="196">
        <v>0</v>
      </c>
      <c r="O125" s="196">
        <f t="shared" si="5"/>
        <v>1489.53</v>
      </c>
    </row>
    <row r="126" spans="1:15" ht="99.75" customHeight="1" x14ac:dyDescent="0.2">
      <c r="A126" s="276"/>
      <c r="B126" s="277"/>
      <c r="C126" s="206" t="s">
        <v>305</v>
      </c>
      <c r="D126" s="207" t="s">
        <v>121</v>
      </c>
      <c r="E126" s="248"/>
      <c r="F126" s="207" t="s">
        <v>13</v>
      </c>
      <c r="G126" s="267">
        <v>0</v>
      </c>
      <c r="H126" s="196">
        <v>0</v>
      </c>
      <c r="I126" s="196">
        <v>0</v>
      </c>
      <c r="J126" s="196">
        <v>0</v>
      </c>
      <c r="K126" s="196">
        <v>500</v>
      </c>
      <c r="L126" s="196">
        <v>500</v>
      </c>
      <c r="M126" s="196">
        <v>0</v>
      </c>
      <c r="N126" s="196">
        <v>0</v>
      </c>
      <c r="O126" s="196">
        <f t="shared" si="5"/>
        <v>1000</v>
      </c>
    </row>
    <row r="127" spans="1:15" ht="30" customHeight="1" x14ac:dyDescent="0.2">
      <c r="A127" s="640">
        <v>10</v>
      </c>
      <c r="B127" s="640"/>
      <c r="C127" s="640"/>
      <c r="D127" s="640"/>
      <c r="E127" s="640"/>
      <c r="F127" s="640"/>
      <c r="G127" s="640"/>
      <c r="H127" s="640"/>
      <c r="I127" s="640"/>
      <c r="J127" s="640"/>
      <c r="K127" s="640"/>
      <c r="L127" s="640"/>
      <c r="M127" s="640"/>
      <c r="N127" s="640"/>
      <c r="O127" s="640"/>
    </row>
    <row r="128" spans="1:15" ht="21" customHeight="1" x14ac:dyDescent="0.2">
      <c r="A128" s="642" t="s">
        <v>255</v>
      </c>
      <c r="B128" s="643"/>
      <c r="C128" s="643"/>
      <c r="D128" s="643"/>
      <c r="E128" s="643"/>
      <c r="F128" s="643"/>
      <c r="G128" s="643"/>
      <c r="H128" s="643"/>
      <c r="I128" s="643"/>
      <c r="J128" s="643"/>
      <c r="K128" s="643"/>
      <c r="L128" s="643"/>
      <c r="M128" s="643"/>
      <c r="N128" s="643"/>
      <c r="O128" s="643"/>
    </row>
    <row r="129" spans="1:15" ht="36.75" customHeight="1" x14ac:dyDescent="0.2">
      <c r="A129" s="193">
        <v>1</v>
      </c>
      <c r="B129" s="193">
        <v>2</v>
      </c>
      <c r="C129" s="193">
        <v>3</v>
      </c>
      <c r="D129" s="193">
        <v>4</v>
      </c>
      <c r="E129" s="193">
        <v>5</v>
      </c>
      <c r="F129" s="193">
        <v>6</v>
      </c>
      <c r="G129" s="193">
        <v>7</v>
      </c>
      <c r="H129" s="193">
        <v>8</v>
      </c>
      <c r="I129" s="193">
        <v>9</v>
      </c>
      <c r="J129" s="193">
        <v>10</v>
      </c>
      <c r="K129" s="193">
        <v>11</v>
      </c>
      <c r="L129" s="193">
        <v>12</v>
      </c>
      <c r="M129" s="193">
        <v>13</v>
      </c>
      <c r="N129" s="193">
        <v>14</v>
      </c>
      <c r="O129" s="193">
        <v>15</v>
      </c>
    </row>
    <row r="130" spans="1:15" ht="66" customHeight="1" x14ac:dyDescent="0.2">
      <c r="A130" s="274"/>
      <c r="B130" s="275"/>
      <c r="C130" s="201" t="s">
        <v>122</v>
      </c>
      <c r="D130" s="160" t="s">
        <v>71</v>
      </c>
      <c r="E130" s="203"/>
      <c r="F130" s="160" t="s">
        <v>13</v>
      </c>
      <c r="G130" s="202">
        <v>0</v>
      </c>
      <c r="H130" s="202">
        <v>0</v>
      </c>
      <c r="I130" s="202">
        <v>0</v>
      </c>
      <c r="J130" s="202">
        <v>0</v>
      </c>
      <c r="K130" s="202">
        <v>0</v>
      </c>
      <c r="L130" s="196">
        <v>5200</v>
      </c>
      <c r="M130" s="196">
        <f>2860-2860</f>
        <v>0</v>
      </c>
      <c r="N130" s="196">
        <v>3150</v>
      </c>
      <c r="O130" s="196">
        <f t="shared" si="5"/>
        <v>8350</v>
      </c>
    </row>
    <row r="131" spans="1:15" ht="76.5" customHeight="1" x14ac:dyDescent="0.2">
      <c r="A131" s="278"/>
      <c r="B131" s="279"/>
      <c r="C131" s="221" t="s">
        <v>123</v>
      </c>
      <c r="D131" s="122" t="s">
        <v>71</v>
      </c>
      <c r="E131" s="141" t="s">
        <v>124</v>
      </c>
      <c r="F131" s="225" t="s">
        <v>13</v>
      </c>
      <c r="G131" s="202">
        <v>0</v>
      </c>
      <c r="H131" s="202">
        <v>0</v>
      </c>
      <c r="I131" s="202">
        <v>0</v>
      </c>
      <c r="J131" s="202">
        <v>0</v>
      </c>
      <c r="K131" s="202">
        <v>0</v>
      </c>
      <c r="L131" s="196">
        <v>2300</v>
      </c>
      <c r="M131" s="196">
        <v>0</v>
      </c>
      <c r="N131" s="196">
        <v>2800</v>
      </c>
      <c r="O131" s="196">
        <f t="shared" si="5"/>
        <v>5100</v>
      </c>
    </row>
    <row r="132" spans="1:15" ht="93.75" customHeight="1" x14ac:dyDescent="0.2">
      <c r="A132" s="274"/>
      <c r="B132" s="275"/>
      <c r="C132" s="201" t="s">
        <v>306</v>
      </c>
      <c r="D132" s="160" t="s">
        <v>71</v>
      </c>
      <c r="E132" s="203"/>
      <c r="F132" s="160" t="s">
        <v>13</v>
      </c>
      <c r="G132" s="202">
        <v>0</v>
      </c>
      <c r="H132" s="202">
        <v>0</v>
      </c>
      <c r="I132" s="202">
        <v>0</v>
      </c>
      <c r="J132" s="202">
        <v>0</v>
      </c>
      <c r="K132" s="202">
        <v>0</v>
      </c>
      <c r="L132" s="196">
        <v>24900</v>
      </c>
      <c r="M132" s="196">
        <f>27309.5-27309.5</f>
        <v>0</v>
      </c>
      <c r="N132" s="196">
        <v>0</v>
      </c>
      <c r="O132" s="196">
        <f t="shared" si="5"/>
        <v>24900</v>
      </c>
    </row>
    <row r="133" spans="1:15" ht="63" hidden="1" customHeight="1" x14ac:dyDescent="0.2">
      <c r="A133" s="274"/>
      <c r="B133" s="275"/>
      <c r="C133" s="201" t="s">
        <v>307</v>
      </c>
      <c r="D133" s="160" t="s">
        <v>71</v>
      </c>
      <c r="E133" s="203"/>
      <c r="F133" s="160" t="s">
        <v>213</v>
      </c>
      <c r="G133" s="202">
        <v>0</v>
      </c>
      <c r="H133" s="202">
        <v>0</v>
      </c>
      <c r="I133" s="202">
        <v>0</v>
      </c>
      <c r="J133" s="202">
        <v>0</v>
      </c>
      <c r="K133" s="202">
        <v>0</v>
      </c>
      <c r="L133" s="196">
        <v>0</v>
      </c>
      <c r="M133" s="196">
        <v>0</v>
      </c>
      <c r="N133" s="196">
        <v>0</v>
      </c>
      <c r="O133" s="196">
        <f t="shared" si="5"/>
        <v>0</v>
      </c>
    </row>
    <row r="134" spans="1:15" ht="72.75" customHeight="1" x14ac:dyDescent="0.2">
      <c r="A134" s="274"/>
      <c r="B134" s="275"/>
      <c r="C134" s="201" t="s">
        <v>126</v>
      </c>
      <c r="D134" s="160" t="s">
        <v>71</v>
      </c>
      <c r="E134" s="203"/>
      <c r="F134" s="160" t="s">
        <v>13</v>
      </c>
      <c r="G134" s="202">
        <v>0</v>
      </c>
      <c r="H134" s="202">
        <v>0</v>
      </c>
      <c r="I134" s="202">
        <v>0</v>
      </c>
      <c r="J134" s="202">
        <v>0</v>
      </c>
      <c r="K134" s="202">
        <v>0</v>
      </c>
      <c r="L134" s="196">
        <v>1000</v>
      </c>
      <c r="M134" s="196">
        <v>0</v>
      </c>
      <c r="N134" s="196">
        <v>0</v>
      </c>
      <c r="O134" s="196">
        <f t="shared" si="5"/>
        <v>1000</v>
      </c>
    </row>
    <row r="135" spans="1:15" ht="71.25" customHeight="1" x14ac:dyDescent="0.2">
      <c r="A135" s="274"/>
      <c r="B135" s="275"/>
      <c r="C135" s="201" t="s">
        <v>127</v>
      </c>
      <c r="D135" s="160" t="s">
        <v>71</v>
      </c>
      <c r="E135" s="203"/>
      <c r="F135" s="160" t="s">
        <v>13</v>
      </c>
      <c r="G135" s="202">
        <v>0</v>
      </c>
      <c r="H135" s="202">
        <v>0</v>
      </c>
      <c r="I135" s="202">
        <v>0</v>
      </c>
      <c r="J135" s="202">
        <v>0</v>
      </c>
      <c r="K135" s="202">
        <v>0</v>
      </c>
      <c r="L135" s="230">
        <v>425000</v>
      </c>
      <c r="M135" s="230">
        <v>510000</v>
      </c>
      <c r="N135" s="230">
        <f>225000-14520</f>
        <v>210480</v>
      </c>
      <c r="O135" s="230">
        <f t="shared" si="5"/>
        <v>1145480</v>
      </c>
    </row>
    <row r="136" spans="1:15" ht="74.25" customHeight="1" x14ac:dyDescent="0.2">
      <c r="A136" s="274"/>
      <c r="B136" s="275"/>
      <c r="C136" s="201" t="s">
        <v>128</v>
      </c>
      <c r="D136" s="160" t="s">
        <v>71</v>
      </c>
      <c r="E136" s="203"/>
      <c r="F136" s="160" t="s">
        <v>13</v>
      </c>
      <c r="G136" s="202">
        <v>0</v>
      </c>
      <c r="H136" s="202">
        <v>0</v>
      </c>
      <c r="I136" s="202">
        <v>0</v>
      </c>
      <c r="J136" s="202">
        <v>0</v>
      </c>
      <c r="K136" s="202">
        <v>0</v>
      </c>
      <c r="L136" s="196">
        <v>0</v>
      </c>
      <c r="M136" s="196">
        <v>400</v>
      </c>
      <c r="N136" s="196">
        <v>0</v>
      </c>
      <c r="O136" s="196">
        <f t="shared" si="5"/>
        <v>400</v>
      </c>
    </row>
    <row r="137" spans="1:15" ht="78" customHeight="1" x14ac:dyDescent="0.2">
      <c r="A137" s="274"/>
      <c r="B137" s="275"/>
      <c r="C137" s="201" t="s">
        <v>308</v>
      </c>
      <c r="D137" s="160" t="s">
        <v>71</v>
      </c>
      <c r="E137" s="203"/>
      <c r="F137" s="160" t="s">
        <v>13</v>
      </c>
      <c r="G137" s="202">
        <v>0</v>
      </c>
      <c r="H137" s="202">
        <v>0</v>
      </c>
      <c r="I137" s="202">
        <v>0</v>
      </c>
      <c r="J137" s="202">
        <v>0</v>
      </c>
      <c r="K137" s="202">
        <v>0</v>
      </c>
      <c r="L137" s="196">
        <v>0</v>
      </c>
      <c r="M137" s="196">
        <v>300</v>
      </c>
      <c r="N137" s="196">
        <v>0</v>
      </c>
      <c r="O137" s="196">
        <f t="shared" si="5"/>
        <v>300</v>
      </c>
    </row>
    <row r="138" spans="1:15" ht="85.5" customHeight="1" x14ac:dyDescent="0.2">
      <c r="A138" s="274"/>
      <c r="B138" s="275"/>
      <c r="C138" s="201" t="s">
        <v>309</v>
      </c>
      <c r="D138" s="160" t="s">
        <v>71</v>
      </c>
      <c r="E138" s="203"/>
      <c r="F138" s="160" t="s">
        <v>13</v>
      </c>
      <c r="G138" s="202">
        <v>0</v>
      </c>
      <c r="H138" s="202">
        <v>0</v>
      </c>
      <c r="I138" s="202">
        <v>0</v>
      </c>
      <c r="J138" s="202">
        <v>0</v>
      </c>
      <c r="K138" s="202">
        <v>0</v>
      </c>
      <c r="L138" s="196">
        <v>0</v>
      </c>
      <c r="M138" s="196">
        <v>200</v>
      </c>
      <c r="N138" s="196">
        <v>0</v>
      </c>
      <c r="O138" s="196">
        <f t="shared" si="5"/>
        <v>200</v>
      </c>
    </row>
    <row r="139" spans="1:15" ht="83.25" customHeight="1" x14ac:dyDescent="0.2">
      <c r="A139" s="278"/>
      <c r="B139" s="280"/>
      <c r="C139" s="281" t="s">
        <v>310</v>
      </c>
      <c r="D139" s="282" t="s">
        <v>71</v>
      </c>
      <c r="E139" s="141"/>
      <c r="F139" s="225" t="s">
        <v>13</v>
      </c>
      <c r="G139" s="202">
        <v>0</v>
      </c>
      <c r="H139" s="202">
        <v>0</v>
      </c>
      <c r="I139" s="202">
        <v>0</v>
      </c>
      <c r="J139" s="202">
        <v>0</v>
      </c>
      <c r="K139" s="202">
        <v>0</v>
      </c>
      <c r="L139" s="196">
        <v>0</v>
      </c>
      <c r="M139" s="196">
        <v>120</v>
      </c>
      <c r="N139" s="196">
        <v>0</v>
      </c>
      <c r="O139" s="196">
        <f t="shared" si="5"/>
        <v>120</v>
      </c>
    </row>
    <row r="140" spans="1:15" ht="92.25" customHeight="1" x14ac:dyDescent="0.2">
      <c r="A140" s="283"/>
      <c r="B140" s="284"/>
      <c r="C140" s="223" t="s">
        <v>311</v>
      </c>
      <c r="D140" s="143" t="s">
        <v>71</v>
      </c>
      <c r="E140" s="265"/>
      <c r="F140" s="225" t="s">
        <v>13</v>
      </c>
      <c r="G140" s="202">
        <v>0</v>
      </c>
      <c r="H140" s="202">
        <v>0</v>
      </c>
      <c r="I140" s="202">
        <v>0</v>
      </c>
      <c r="J140" s="202">
        <v>0</v>
      </c>
      <c r="K140" s="202">
        <v>0</v>
      </c>
      <c r="L140" s="196">
        <v>0</v>
      </c>
      <c r="M140" s="196">
        <v>135</v>
      </c>
      <c r="N140" s="196">
        <v>0</v>
      </c>
      <c r="O140" s="196">
        <f t="shared" si="5"/>
        <v>135</v>
      </c>
    </row>
    <row r="141" spans="1:15" ht="33" customHeight="1" x14ac:dyDescent="0.2">
      <c r="A141" s="640">
        <v>11</v>
      </c>
      <c r="B141" s="640"/>
      <c r="C141" s="640"/>
      <c r="D141" s="640"/>
      <c r="E141" s="640"/>
      <c r="F141" s="640"/>
      <c r="G141" s="640"/>
      <c r="H141" s="640"/>
      <c r="I141" s="640"/>
      <c r="J141" s="640"/>
      <c r="K141" s="640"/>
      <c r="L141" s="640"/>
      <c r="M141" s="640"/>
      <c r="N141" s="640"/>
      <c r="O141" s="640"/>
    </row>
    <row r="142" spans="1:15" ht="25.5" customHeight="1" x14ac:dyDescent="0.2">
      <c r="A142" s="642" t="s">
        <v>255</v>
      </c>
      <c r="B142" s="643"/>
      <c r="C142" s="643"/>
      <c r="D142" s="643"/>
      <c r="E142" s="643"/>
      <c r="F142" s="643"/>
      <c r="G142" s="643"/>
      <c r="H142" s="643"/>
      <c r="I142" s="643"/>
      <c r="J142" s="643"/>
      <c r="K142" s="643"/>
      <c r="L142" s="643"/>
      <c r="M142" s="643"/>
      <c r="N142" s="643"/>
      <c r="O142" s="643"/>
    </row>
    <row r="143" spans="1:15" ht="33.75" customHeight="1" x14ac:dyDescent="0.2">
      <c r="A143" s="193">
        <v>1</v>
      </c>
      <c r="B143" s="193">
        <v>2</v>
      </c>
      <c r="C143" s="193">
        <v>3</v>
      </c>
      <c r="D143" s="193">
        <v>4</v>
      </c>
      <c r="E143" s="193">
        <v>5</v>
      </c>
      <c r="F143" s="193">
        <v>6</v>
      </c>
      <c r="G143" s="193">
        <v>7</v>
      </c>
      <c r="H143" s="193">
        <v>8</v>
      </c>
      <c r="I143" s="193">
        <v>9</v>
      </c>
      <c r="J143" s="193">
        <v>10</v>
      </c>
      <c r="K143" s="193">
        <v>11</v>
      </c>
      <c r="L143" s="193">
        <v>12</v>
      </c>
      <c r="M143" s="193">
        <v>13</v>
      </c>
      <c r="N143" s="193">
        <v>14</v>
      </c>
      <c r="O143" s="193">
        <v>15</v>
      </c>
    </row>
    <row r="144" spans="1:15" ht="80.25" customHeight="1" x14ac:dyDescent="0.2">
      <c r="A144" s="274"/>
      <c r="B144" s="275"/>
      <c r="C144" s="201" t="s">
        <v>312</v>
      </c>
      <c r="D144" s="160" t="s">
        <v>71</v>
      </c>
      <c r="E144" s="203"/>
      <c r="F144" s="160" t="s">
        <v>13</v>
      </c>
      <c r="G144" s="202">
        <v>0</v>
      </c>
      <c r="H144" s="202">
        <v>0</v>
      </c>
      <c r="I144" s="202">
        <v>0</v>
      </c>
      <c r="J144" s="202">
        <v>0</v>
      </c>
      <c r="K144" s="202">
        <v>0</v>
      </c>
      <c r="L144" s="196">
        <v>0</v>
      </c>
      <c r="M144" s="196">
        <v>150</v>
      </c>
      <c r="N144" s="196">
        <v>0</v>
      </c>
      <c r="O144" s="196">
        <f t="shared" si="5"/>
        <v>150</v>
      </c>
    </row>
    <row r="145" spans="1:15" ht="79.5" customHeight="1" x14ac:dyDescent="0.2">
      <c r="A145" s="285"/>
      <c r="B145" s="280"/>
      <c r="C145" s="221" t="s">
        <v>130</v>
      </c>
      <c r="D145" s="122" t="s">
        <v>71</v>
      </c>
      <c r="E145" s="141"/>
      <c r="F145" s="225" t="s">
        <v>13</v>
      </c>
      <c r="G145" s="202">
        <v>0</v>
      </c>
      <c r="H145" s="202">
        <v>0</v>
      </c>
      <c r="I145" s="202">
        <v>0</v>
      </c>
      <c r="J145" s="202">
        <v>0</v>
      </c>
      <c r="K145" s="202">
        <v>0</v>
      </c>
      <c r="L145" s="196">
        <v>0</v>
      </c>
      <c r="M145" s="196">
        <v>320</v>
      </c>
      <c r="N145" s="196">
        <v>0</v>
      </c>
      <c r="O145" s="196">
        <f t="shared" si="5"/>
        <v>320</v>
      </c>
    </row>
    <row r="146" spans="1:15" ht="90" customHeight="1" x14ac:dyDescent="0.2">
      <c r="A146" s="285"/>
      <c r="B146" s="280"/>
      <c r="C146" s="212" t="s">
        <v>131</v>
      </c>
      <c r="D146" s="114" t="s">
        <v>71</v>
      </c>
      <c r="E146" s="141"/>
      <c r="F146" s="225" t="s">
        <v>13</v>
      </c>
      <c r="G146" s="202">
        <v>0</v>
      </c>
      <c r="H146" s="202">
        <v>0</v>
      </c>
      <c r="I146" s="202">
        <v>0</v>
      </c>
      <c r="J146" s="202">
        <v>0</v>
      </c>
      <c r="K146" s="202">
        <v>0</v>
      </c>
      <c r="L146" s="196">
        <v>500</v>
      </c>
      <c r="M146" s="196">
        <v>0</v>
      </c>
      <c r="N146" s="196">
        <v>0</v>
      </c>
      <c r="O146" s="196">
        <f t="shared" si="5"/>
        <v>500</v>
      </c>
    </row>
    <row r="147" spans="1:15" ht="90" customHeight="1" x14ac:dyDescent="0.2">
      <c r="A147" s="274"/>
      <c r="B147" s="275"/>
      <c r="C147" s="201" t="s">
        <v>132</v>
      </c>
      <c r="D147" s="160" t="s">
        <v>71</v>
      </c>
      <c r="E147" s="203"/>
      <c r="F147" s="160" t="s">
        <v>13</v>
      </c>
      <c r="G147" s="202">
        <v>0</v>
      </c>
      <c r="H147" s="202">
        <v>0</v>
      </c>
      <c r="I147" s="202">
        <v>0</v>
      </c>
      <c r="J147" s="202">
        <v>0</v>
      </c>
      <c r="K147" s="202">
        <v>0</v>
      </c>
      <c r="L147" s="196">
        <v>0</v>
      </c>
      <c r="M147" s="196">
        <v>500</v>
      </c>
      <c r="N147" s="196">
        <v>0</v>
      </c>
      <c r="O147" s="196">
        <f t="shared" si="5"/>
        <v>500</v>
      </c>
    </row>
    <row r="148" spans="1:15" ht="66.75" customHeight="1" x14ac:dyDescent="0.2">
      <c r="A148" s="274"/>
      <c r="B148" s="275"/>
      <c r="C148" s="201" t="s">
        <v>313</v>
      </c>
      <c r="D148" s="160" t="s">
        <v>71</v>
      </c>
      <c r="E148" s="203"/>
      <c r="F148" s="160" t="s">
        <v>13</v>
      </c>
      <c r="G148" s="202">
        <v>0</v>
      </c>
      <c r="H148" s="202">
        <v>0</v>
      </c>
      <c r="I148" s="202">
        <v>0</v>
      </c>
      <c r="J148" s="202">
        <v>0</v>
      </c>
      <c r="K148" s="202">
        <v>0</v>
      </c>
      <c r="L148" s="196">
        <v>410</v>
      </c>
      <c r="M148" s="196">
        <v>0</v>
      </c>
      <c r="N148" s="196">
        <v>0</v>
      </c>
      <c r="O148" s="196">
        <f t="shared" si="5"/>
        <v>410</v>
      </c>
    </row>
    <row r="149" spans="1:15" ht="69" customHeight="1" x14ac:dyDescent="0.2">
      <c r="A149" s="274"/>
      <c r="B149" s="275"/>
      <c r="C149" s="201" t="s">
        <v>314</v>
      </c>
      <c r="D149" s="160" t="s">
        <v>71</v>
      </c>
      <c r="E149" s="203"/>
      <c r="F149" s="160" t="s">
        <v>13</v>
      </c>
      <c r="G149" s="202">
        <v>0</v>
      </c>
      <c r="H149" s="202">
        <v>0</v>
      </c>
      <c r="I149" s="202">
        <v>0</v>
      </c>
      <c r="J149" s="202">
        <v>0</v>
      </c>
      <c r="K149" s="202">
        <v>0</v>
      </c>
      <c r="L149" s="196">
        <v>0</v>
      </c>
      <c r="M149" s="196">
        <v>0</v>
      </c>
      <c r="N149" s="196">
        <v>15000</v>
      </c>
      <c r="O149" s="196">
        <f t="shared" si="5"/>
        <v>15000</v>
      </c>
    </row>
    <row r="150" spans="1:15" ht="75" customHeight="1" x14ac:dyDescent="0.2">
      <c r="A150" s="274"/>
      <c r="B150" s="275"/>
      <c r="C150" s="201" t="s">
        <v>315</v>
      </c>
      <c r="D150" s="160" t="s">
        <v>71</v>
      </c>
      <c r="E150" s="203"/>
      <c r="F150" s="160" t="s">
        <v>13</v>
      </c>
      <c r="G150" s="202">
        <v>0</v>
      </c>
      <c r="H150" s="202">
        <v>0</v>
      </c>
      <c r="I150" s="202">
        <v>0</v>
      </c>
      <c r="J150" s="202">
        <v>0</v>
      </c>
      <c r="K150" s="202">
        <v>0</v>
      </c>
      <c r="L150" s="196">
        <v>0</v>
      </c>
      <c r="M150" s="196">
        <v>0</v>
      </c>
      <c r="N150" s="196">
        <v>3400</v>
      </c>
      <c r="O150" s="196">
        <f t="shared" si="5"/>
        <v>3400</v>
      </c>
    </row>
    <row r="151" spans="1:15" ht="74.25" customHeight="1" x14ac:dyDescent="0.2">
      <c r="A151" s="278"/>
      <c r="B151" s="280"/>
      <c r="C151" s="212" t="s">
        <v>316</v>
      </c>
      <c r="D151" s="160" t="s">
        <v>71</v>
      </c>
      <c r="E151" s="203"/>
      <c r="F151" s="160" t="s">
        <v>13</v>
      </c>
      <c r="G151" s="202">
        <v>0</v>
      </c>
      <c r="H151" s="202">
        <v>0</v>
      </c>
      <c r="I151" s="202">
        <v>0</v>
      </c>
      <c r="J151" s="202">
        <v>0</v>
      </c>
      <c r="K151" s="202">
        <v>0</v>
      </c>
      <c r="L151" s="196">
        <v>0</v>
      </c>
      <c r="M151" s="196">
        <v>0</v>
      </c>
      <c r="N151" s="196">
        <v>1200</v>
      </c>
      <c r="O151" s="196">
        <f t="shared" si="5"/>
        <v>1200</v>
      </c>
    </row>
    <row r="152" spans="1:15" ht="72.75" customHeight="1" x14ac:dyDescent="0.2">
      <c r="A152" s="278"/>
      <c r="B152" s="280"/>
      <c r="C152" s="212" t="s">
        <v>317</v>
      </c>
      <c r="D152" s="160" t="s">
        <v>71</v>
      </c>
      <c r="E152" s="203"/>
      <c r="F152" s="160" t="s">
        <v>13</v>
      </c>
      <c r="G152" s="202">
        <v>0</v>
      </c>
      <c r="H152" s="202">
        <v>0</v>
      </c>
      <c r="I152" s="202">
        <v>0</v>
      </c>
      <c r="J152" s="202">
        <v>0</v>
      </c>
      <c r="K152" s="202">
        <v>0</v>
      </c>
      <c r="L152" s="196">
        <v>0</v>
      </c>
      <c r="M152" s="196">
        <v>1000</v>
      </c>
      <c r="N152" s="196">
        <v>0</v>
      </c>
      <c r="O152" s="196">
        <f t="shared" si="5"/>
        <v>1000</v>
      </c>
    </row>
    <row r="153" spans="1:15" ht="89.25" customHeight="1" x14ac:dyDescent="0.2">
      <c r="A153" s="283"/>
      <c r="B153" s="284"/>
      <c r="C153" s="212" t="s">
        <v>318</v>
      </c>
      <c r="D153" s="160" t="s">
        <v>71</v>
      </c>
      <c r="E153" s="248"/>
      <c r="F153" s="160" t="s">
        <v>13</v>
      </c>
      <c r="G153" s="202">
        <v>0</v>
      </c>
      <c r="H153" s="202">
        <v>0</v>
      </c>
      <c r="I153" s="202">
        <v>0</v>
      </c>
      <c r="J153" s="202">
        <v>0</v>
      </c>
      <c r="K153" s="202">
        <v>0</v>
      </c>
      <c r="L153" s="196">
        <v>0</v>
      </c>
      <c r="M153" s="196">
        <v>0</v>
      </c>
      <c r="N153" s="196">
        <v>300</v>
      </c>
      <c r="O153" s="196">
        <f t="shared" si="5"/>
        <v>300</v>
      </c>
    </row>
    <row r="154" spans="1:15" ht="33.75" customHeight="1" x14ac:dyDescent="0.2">
      <c r="A154" s="640">
        <v>12</v>
      </c>
      <c r="B154" s="640"/>
      <c r="C154" s="640"/>
      <c r="D154" s="640"/>
      <c r="E154" s="640"/>
      <c r="F154" s="640"/>
      <c r="G154" s="640"/>
      <c r="H154" s="640"/>
      <c r="I154" s="640"/>
      <c r="J154" s="640"/>
      <c r="K154" s="640"/>
      <c r="L154" s="640"/>
      <c r="M154" s="640"/>
      <c r="N154" s="640"/>
      <c r="O154" s="640"/>
    </row>
    <row r="155" spans="1:15" ht="29.25" customHeight="1" x14ac:dyDescent="0.2">
      <c r="A155" s="642" t="s">
        <v>255</v>
      </c>
      <c r="B155" s="643"/>
      <c r="C155" s="643"/>
      <c r="D155" s="643"/>
      <c r="E155" s="643"/>
      <c r="F155" s="643"/>
      <c r="G155" s="643"/>
      <c r="H155" s="643"/>
      <c r="I155" s="643"/>
      <c r="J155" s="643"/>
      <c r="K155" s="643"/>
      <c r="L155" s="643"/>
      <c r="M155" s="643"/>
      <c r="N155" s="643"/>
      <c r="O155" s="643"/>
    </row>
    <row r="156" spans="1:15" ht="30.75" customHeight="1" x14ac:dyDescent="0.2">
      <c r="A156" s="193">
        <v>1</v>
      </c>
      <c r="B156" s="193">
        <v>2</v>
      </c>
      <c r="C156" s="193">
        <v>3</v>
      </c>
      <c r="D156" s="193">
        <v>4</v>
      </c>
      <c r="E156" s="193">
        <v>5</v>
      </c>
      <c r="F156" s="193">
        <v>6</v>
      </c>
      <c r="G156" s="193">
        <v>7</v>
      </c>
      <c r="H156" s="193">
        <v>8</v>
      </c>
      <c r="I156" s="193">
        <v>9</v>
      </c>
      <c r="J156" s="193">
        <v>10</v>
      </c>
      <c r="K156" s="193">
        <v>11</v>
      </c>
      <c r="L156" s="193">
        <v>12</v>
      </c>
      <c r="M156" s="193">
        <v>13</v>
      </c>
      <c r="N156" s="193">
        <v>14</v>
      </c>
      <c r="O156" s="193">
        <v>15</v>
      </c>
    </row>
    <row r="157" spans="1:15" ht="78.75" customHeight="1" x14ac:dyDescent="0.2">
      <c r="A157" s="274"/>
      <c r="B157" s="275"/>
      <c r="C157" s="201" t="s">
        <v>319</v>
      </c>
      <c r="D157" s="160" t="s">
        <v>71</v>
      </c>
      <c r="E157" s="203"/>
      <c r="F157" s="160" t="s">
        <v>13</v>
      </c>
      <c r="G157" s="202">
        <v>0</v>
      </c>
      <c r="H157" s="202">
        <v>0</v>
      </c>
      <c r="I157" s="202">
        <v>0</v>
      </c>
      <c r="J157" s="202">
        <v>0</v>
      </c>
      <c r="K157" s="202">
        <v>0</v>
      </c>
      <c r="L157" s="196">
        <v>0</v>
      </c>
      <c r="M157" s="196">
        <v>0</v>
      </c>
      <c r="N157" s="196">
        <v>350</v>
      </c>
      <c r="O157" s="196">
        <f t="shared" si="5"/>
        <v>350</v>
      </c>
    </row>
    <row r="158" spans="1:15" ht="84" customHeight="1" x14ac:dyDescent="0.2">
      <c r="A158" s="278"/>
      <c r="B158" s="280"/>
      <c r="C158" s="221" t="s">
        <v>320</v>
      </c>
      <c r="D158" s="122" t="s">
        <v>71</v>
      </c>
      <c r="E158" s="141"/>
      <c r="F158" s="225" t="s">
        <v>13</v>
      </c>
      <c r="G158" s="202">
        <v>0</v>
      </c>
      <c r="H158" s="202">
        <v>0</v>
      </c>
      <c r="I158" s="202">
        <v>0</v>
      </c>
      <c r="J158" s="202">
        <v>0</v>
      </c>
      <c r="K158" s="202">
        <v>0</v>
      </c>
      <c r="L158" s="196">
        <v>0</v>
      </c>
      <c r="M158" s="196">
        <v>0</v>
      </c>
      <c r="N158" s="196">
        <v>400</v>
      </c>
      <c r="O158" s="196">
        <f t="shared" si="5"/>
        <v>400</v>
      </c>
    </row>
    <row r="159" spans="1:15" ht="80.25" customHeight="1" x14ac:dyDescent="0.2">
      <c r="A159" s="274"/>
      <c r="B159" s="275"/>
      <c r="C159" s="201" t="s">
        <v>321</v>
      </c>
      <c r="D159" s="160" t="s">
        <v>71</v>
      </c>
      <c r="E159" s="203"/>
      <c r="F159" s="160" t="s">
        <v>13</v>
      </c>
      <c r="G159" s="202">
        <v>0</v>
      </c>
      <c r="H159" s="202">
        <v>0</v>
      </c>
      <c r="I159" s="202">
        <v>0</v>
      </c>
      <c r="J159" s="202">
        <v>0</v>
      </c>
      <c r="K159" s="202">
        <v>0</v>
      </c>
      <c r="L159" s="196">
        <v>0</v>
      </c>
      <c r="M159" s="196">
        <f>5000-5000</f>
        <v>0</v>
      </c>
      <c r="N159" s="196">
        <v>0</v>
      </c>
      <c r="O159" s="196">
        <f t="shared" ref="O159:O175" si="6">SUM(G159:N159)</f>
        <v>0</v>
      </c>
    </row>
    <row r="160" spans="1:15" ht="72.75" customHeight="1" x14ac:dyDescent="0.2">
      <c r="A160" s="274"/>
      <c r="B160" s="275"/>
      <c r="C160" s="201" t="s">
        <v>322</v>
      </c>
      <c r="D160" s="160" t="s">
        <v>71</v>
      </c>
      <c r="E160" s="203"/>
      <c r="F160" s="160" t="s">
        <v>13</v>
      </c>
      <c r="G160" s="202">
        <v>0</v>
      </c>
      <c r="H160" s="202">
        <v>0</v>
      </c>
      <c r="I160" s="202">
        <v>0</v>
      </c>
      <c r="J160" s="202">
        <v>0</v>
      </c>
      <c r="K160" s="202">
        <v>0</v>
      </c>
      <c r="L160" s="196">
        <v>0</v>
      </c>
      <c r="M160" s="196">
        <v>0</v>
      </c>
      <c r="N160" s="196">
        <v>12000</v>
      </c>
      <c r="O160" s="196">
        <f t="shared" si="6"/>
        <v>12000</v>
      </c>
    </row>
    <row r="161" spans="1:15" ht="90" customHeight="1" x14ac:dyDescent="0.2">
      <c r="A161" s="274"/>
      <c r="B161" s="275"/>
      <c r="C161" s="201" t="s">
        <v>323</v>
      </c>
      <c r="D161" s="160" t="s">
        <v>71</v>
      </c>
      <c r="E161" s="203"/>
      <c r="F161" s="160" t="s">
        <v>13</v>
      </c>
      <c r="G161" s="202">
        <v>0</v>
      </c>
      <c r="H161" s="202">
        <v>0</v>
      </c>
      <c r="I161" s="202">
        <v>0</v>
      </c>
      <c r="J161" s="202">
        <v>0</v>
      </c>
      <c r="K161" s="202">
        <v>0</v>
      </c>
      <c r="L161" s="196">
        <v>0</v>
      </c>
      <c r="M161" s="196">
        <f>18000-488.9+99.5</f>
        <v>17610.599999999999</v>
      </c>
      <c r="N161" s="196">
        <v>0</v>
      </c>
      <c r="O161" s="196">
        <f t="shared" si="6"/>
        <v>17610.599999999999</v>
      </c>
    </row>
    <row r="162" spans="1:15" ht="107.25" customHeight="1" x14ac:dyDescent="0.2">
      <c r="A162" s="274"/>
      <c r="B162" s="275"/>
      <c r="C162" s="201" t="s">
        <v>144</v>
      </c>
      <c r="D162" s="160" t="s">
        <v>71</v>
      </c>
      <c r="E162" s="203"/>
      <c r="F162" s="160" t="s">
        <v>13</v>
      </c>
      <c r="G162" s="202">
        <v>0</v>
      </c>
      <c r="H162" s="202">
        <v>0</v>
      </c>
      <c r="I162" s="202">
        <v>0</v>
      </c>
      <c r="J162" s="202">
        <v>0</v>
      </c>
      <c r="K162" s="202">
        <v>0</v>
      </c>
      <c r="L162" s="196">
        <v>0</v>
      </c>
      <c r="M162" s="196">
        <v>0</v>
      </c>
      <c r="N162" s="196">
        <v>18000</v>
      </c>
      <c r="O162" s="196">
        <f t="shared" si="6"/>
        <v>18000</v>
      </c>
    </row>
    <row r="163" spans="1:15" ht="95.25" customHeight="1" x14ac:dyDescent="0.2">
      <c r="A163" s="274"/>
      <c r="B163" s="275"/>
      <c r="C163" s="286" t="s">
        <v>324</v>
      </c>
      <c r="D163" s="160" t="s">
        <v>71</v>
      </c>
      <c r="E163" s="203"/>
      <c r="F163" s="160" t="s">
        <v>13</v>
      </c>
      <c r="G163" s="202">
        <v>0</v>
      </c>
      <c r="H163" s="202">
        <v>0</v>
      </c>
      <c r="I163" s="202">
        <v>0</v>
      </c>
      <c r="J163" s="202">
        <v>0</v>
      </c>
      <c r="K163" s="202">
        <v>0</v>
      </c>
      <c r="L163" s="196">
        <v>0</v>
      </c>
      <c r="M163" s="196">
        <v>120</v>
      </c>
      <c r="N163" s="196">
        <v>0</v>
      </c>
      <c r="O163" s="196">
        <f t="shared" si="6"/>
        <v>120</v>
      </c>
    </row>
    <row r="164" spans="1:15" ht="90" customHeight="1" x14ac:dyDescent="0.2">
      <c r="A164" s="278"/>
      <c r="B164" s="280"/>
      <c r="C164" s="287" t="s">
        <v>325</v>
      </c>
      <c r="D164" s="282" t="s">
        <v>71</v>
      </c>
      <c r="E164" s="141"/>
      <c r="F164" s="225" t="s">
        <v>13</v>
      </c>
      <c r="G164" s="202">
        <v>0</v>
      </c>
      <c r="H164" s="202">
        <v>0</v>
      </c>
      <c r="I164" s="202">
        <v>0</v>
      </c>
      <c r="J164" s="202">
        <v>0</v>
      </c>
      <c r="K164" s="202">
        <v>0</v>
      </c>
      <c r="L164" s="196">
        <v>0</v>
      </c>
      <c r="M164" s="196">
        <v>135</v>
      </c>
      <c r="N164" s="196">
        <v>0</v>
      </c>
      <c r="O164" s="196">
        <f t="shared" si="6"/>
        <v>135</v>
      </c>
    </row>
    <row r="165" spans="1:15" ht="93" customHeight="1" x14ac:dyDescent="0.2">
      <c r="A165" s="283"/>
      <c r="B165" s="284"/>
      <c r="C165" s="288" t="s">
        <v>326</v>
      </c>
      <c r="D165" s="128" t="s">
        <v>71</v>
      </c>
      <c r="E165" s="265"/>
      <c r="F165" s="225" t="s">
        <v>13</v>
      </c>
      <c r="G165" s="202">
        <v>0</v>
      </c>
      <c r="H165" s="202">
        <v>0</v>
      </c>
      <c r="I165" s="202">
        <v>0</v>
      </c>
      <c r="J165" s="202">
        <v>0</v>
      </c>
      <c r="K165" s="202">
        <v>0</v>
      </c>
      <c r="L165" s="196">
        <v>0</v>
      </c>
      <c r="M165" s="196">
        <v>0</v>
      </c>
      <c r="N165" s="196">
        <v>300</v>
      </c>
      <c r="O165" s="196">
        <f t="shared" si="6"/>
        <v>300</v>
      </c>
    </row>
    <row r="166" spans="1:15" ht="36.75" customHeight="1" x14ac:dyDescent="0.2">
      <c r="A166" s="640">
        <v>13</v>
      </c>
      <c r="B166" s="640"/>
      <c r="C166" s="640"/>
      <c r="D166" s="640"/>
      <c r="E166" s="640"/>
      <c r="F166" s="640"/>
      <c r="G166" s="640"/>
      <c r="H166" s="640"/>
      <c r="I166" s="640"/>
      <c r="J166" s="640"/>
      <c r="K166" s="640"/>
      <c r="L166" s="640"/>
      <c r="M166" s="640"/>
      <c r="N166" s="640"/>
      <c r="O166" s="640"/>
    </row>
    <row r="167" spans="1:15" ht="24.75" customHeight="1" x14ac:dyDescent="0.2">
      <c r="A167" s="642" t="s">
        <v>255</v>
      </c>
      <c r="B167" s="643"/>
      <c r="C167" s="643"/>
      <c r="D167" s="643"/>
      <c r="E167" s="643"/>
      <c r="F167" s="643"/>
      <c r="G167" s="643"/>
      <c r="H167" s="643"/>
      <c r="I167" s="643"/>
      <c r="J167" s="643"/>
      <c r="K167" s="643"/>
      <c r="L167" s="643"/>
      <c r="M167" s="643"/>
      <c r="N167" s="643"/>
      <c r="O167" s="643"/>
    </row>
    <row r="168" spans="1:15" ht="31.5" customHeight="1" x14ac:dyDescent="0.2">
      <c r="A168" s="193">
        <v>1</v>
      </c>
      <c r="B168" s="193">
        <v>2</v>
      </c>
      <c r="C168" s="193">
        <v>3</v>
      </c>
      <c r="D168" s="193">
        <v>4</v>
      </c>
      <c r="E168" s="193">
        <v>5</v>
      </c>
      <c r="F168" s="193">
        <v>6</v>
      </c>
      <c r="G168" s="193">
        <v>7</v>
      </c>
      <c r="H168" s="193">
        <v>8</v>
      </c>
      <c r="I168" s="193">
        <v>9</v>
      </c>
      <c r="J168" s="193">
        <v>10</v>
      </c>
      <c r="K168" s="193">
        <v>11</v>
      </c>
      <c r="L168" s="193">
        <v>12</v>
      </c>
      <c r="M168" s="193">
        <v>13</v>
      </c>
      <c r="N168" s="193">
        <v>14</v>
      </c>
      <c r="O168" s="193">
        <v>15</v>
      </c>
    </row>
    <row r="169" spans="1:15" ht="78" customHeight="1" x14ac:dyDescent="0.2">
      <c r="A169" s="274"/>
      <c r="B169" s="275"/>
      <c r="C169" s="286" t="s">
        <v>327</v>
      </c>
      <c r="D169" s="160" t="s">
        <v>71</v>
      </c>
      <c r="E169" s="203"/>
      <c r="F169" s="160" t="s">
        <v>13</v>
      </c>
      <c r="G169" s="202">
        <v>0</v>
      </c>
      <c r="H169" s="202">
        <v>0</v>
      </c>
      <c r="I169" s="202">
        <v>0</v>
      </c>
      <c r="J169" s="202">
        <v>0</v>
      </c>
      <c r="K169" s="202">
        <v>0</v>
      </c>
      <c r="L169" s="196">
        <v>0</v>
      </c>
      <c r="M169" s="196">
        <v>0</v>
      </c>
      <c r="N169" s="196">
        <v>350</v>
      </c>
      <c r="O169" s="196">
        <f t="shared" si="6"/>
        <v>350</v>
      </c>
    </row>
    <row r="170" spans="1:15" ht="37.5" hidden="1" customHeight="1" x14ac:dyDescent="0.2">
      <c r="A170" s="274"/>
      <c r="B170" s="275"/>
      <c r="C170" s="286" t="s">
        <v>328</v>
      </c>
      <c r="D170" s="160" t="s">
        <v>71</v>
      </c>
      <c r="E170" s="203"/>
      <c r="F170" s="160" t="s">
        <v>213</v>
      </c>
      <c r="G170" s="202">
        <v>0</v>
      </c>
      <c r="H170" s="202">
        <v>0</v>
      </c>
      <c r="I170" s="202">
        <v>0</v>
      </c>
      <c r="J170" s="202">
        <v>0</v>
      </c>
      <c r="K170" s="202">
        <v>0</v>
      </c>
      <c r="L170" s="196">
        <v>0</v>
      </c>
      <c r="M170" s="196">
        <v>0</v>
      </c>
      <c r="N170" s="196">
        <v>0</v>
      </c>
      <c r="O170" s="196">
        <f t="shared" si="6"/>
        <v>0</v>
      </c>
    </row>
    <row r="171" spans="1:15" ht="97.5" customHeight="1" x14ac:dyDescent="0.2">
      <c r="A171" s="278"/>
      <c r="B171" s="280"/>
      <c r="C171" s="268" t="s">
        <v>329</v>
      </c>
      <c r="D171" s="122" t="s">
        <v>71</v>
      </c>
      <c r="E171" s="141"/>
      <c r="F171" s="225" t="s">
        <v>13</v>
      </c>
      <c r="G171" s="202">
        <v>0</v>
      </c>
      <c r="H171" s="202">
        <v>0</v>
      </c>
      <c r="I171" s="202">
        <v>0</v>
      </c>
      <c r="J171" s="202">
        <v>0</v>
      </c>
      <c r="K171" s="202">
        <v>0</v>
      </c>
      <c r="L171" s="196">
        <f>700-700</f>
        <v>0</v>
      </c>
      <c r="M171" s="196">
        <f>880</f>
        <v>880</v>
      </c>
      <c r="N171" s="196">
        <v>0</v>
      </c>
      <c r="O171" s="196">
        <f t="shared" si="6"/>
        <v>880</v>
      </c>
    </row>
    <row r="172" spans="1:15" ht="81" customHeight="1" x14ac:dyDescent="0.2">
      <c r="A172" s="278"/>
      <c r="B172" s="280"/>
      <c r="C172" s="159" t="s">
        <v>330</v>
      </c>
      <c r="D172" s="114" t="s">
        <v>71</v>
      </c>
      <c r="E172" s="141"/>
      <c r="F172" s="225" t="s">
        <v>13</v>
      </c>
      <c r="G172" s="202">
        <v>0</v>
      </c>
      <c r="H172" s="202">
        <v>0</v>
      </c>
      <c r="I172" s="202">
        <v>0</v>
      </c>
      <c r="J172" s="202">
        <v>0</v>
      </c>
      <c r="K172" s="202">
        <v>0</v>
      </c>
      <c r="L172" s="196">
        <v>0</v>
      </c>
      <c r="M172" s="196">
        <v>1750</v>
      </c>
      <c r="N172" s="196">
        <v>2200</v>
      </c>
      <c r="O172" s="196">
        <f t="shared" si="6"/>
        <v>3950</v>
      </c>
    </row>
    <row r="173" spans="1:15" ht="78" customHeight="1" x14ac:dyDescent="0.2">
      <c r="A173" s="274"/>
      <c r="B173" s="275"/>
      <c r="C173" s="264" t="s">
        <v>146</v>
      </c>
      <c r="D173" s="160" t="s">
        <v>71</v>
      </c>
      <c r="E173" s="203"/>
      <c r="F173" s="160" t="s">
        <v>13</v>
      </c>
      <c r="G173" s="202">
        <v>0</v>
      </c>
      <c r="H173" s="202">
        <v>0</v>
      </c>
      <c r="I173" s="202">
        <v>0</v>
      </c>
      <c r="J173" s="202">
        <v>0</v>
      </c>
      <c r="K173" s="202">
        <v>0</v>
      </c>
      <c r="L173" s="196">
        <v>500</v>
      </c>
      <c r="M173" s="196">
        <v>0</v>
      </c>
      <c r="N173" s="196">
        <v>0</v>
      </c>
      <c r="O173" s="196">
        <f t="shared" si="6"/>
        <v>500</v>
      </c>
    </row>
    <row r="174" spans="1:15" ht="66" customHeight="1" x14ac:dyDescent="0.2">
      <c r="A174" s="274"/>
      <c r="B174" s="275"/>
      <c r="C174" s="264" t="s">
        <v>331</v>
      </c>
      <c r="D174" s="160" t="s">
        <v>71</v>
      </c>
      <c r="E174" s="203"/>
      <c r="F174" s="160" t="s">
        <v>13</v>
      </c>
      <c r="G174" s="202">
        <v>0</v>
      </c>
      <c r="H174" s="202">
        <v>0</v>
      </c>
      <c r="I174" s="202">
        <v>0</v>
      </c>
      <c r="J174" s="202">
        <v>0</v>
      </c>
      <c r="K174" s="202">
        <v>0</v>
      </c>
      <c r="L174" s="196">
        <v>0</v>
      </c>
      <c r="M174" s="196">
        <f>2000</f>
        <v>2000</v>
      </c>
      <c r="N174" s="196">
        <v>0</v>
      </c>
      <c r="O174" s="196">
        <f t="shared" si="6"/>
        <v>2000</v>
      </c>
    </row>
    <row r="175" spans="1:15" ht="70.5" customHeight="1" x14ac:dyDescent="0.2">
      <c r="A175" s="274"/>
      <c r="B175" s="275"/>
      <c r="C175" s="264" t="s">
        <v>148</v>
      </c>
      <c r="D175" s="160" t="s">
        <v>71</v>
      </c>
      <c r="E175" s="203"/>
      <c r="F175" s="160" t="s">
        <v>13</v>
      </c>
      <c r="G175" s="202">
        <v>0</v>
      </c>
      <c r="H175" s="202">
        <v>0</v>
      </c>
      <c r="I175" s="202">
        <v>0</v>
      </c>
      <c r="J175" s="202">
        <v>0</v>
      </c>
      <c r="K175" s="202">
        <v>0</v>
      </c>
      <c r="L175" s="196">
        <v>20000</v>
      </c>
      <c r="M175" s="196">
        <f>22000+28000</f>
        <v>50000</v>
      </c>
      <c r="N175" s="196">
        <f>24200+265.6</f>
        <v>24465.599999999999</v>
      </c>
      <c r="O175" s="196">
        <f t="shared" si="6"/>
        <v>94465.600000000006</v>
      </c>
    </row>
    <row r="176" spans="1:15" ht="82.5" customHeight="1" x14ac:dyDescent="0.2">
      <c r="A176" s="274"/>
      <c r="B176" s="275"/>
      <c r="C176" s="264" t="s">
        <v>149</v>
      </c>
      <c r="D176" s="160" t="s">
        <v>71</v>
      </c>
      <c r="E176" s="203"/>
      <c r="F176" s="160" t="s">
        <v>13</v>
      </c>
      <c r="G176" s="202">
        <v>0</v>
      </c>
      <c r="H176" s="202">
        <v>0</v>
      </c>
      <c r="I176" s="202">
        <v>0</v>
      </c>
      <c r="J176" s="202">
        <v>0</v>
      </c>
      <c r="K176" s="202">
        <v>0</v>
      </c>
      <c r="L176" s="196">
        <f>4000+349.7-4349.7</f>
        <v>0</v>
      </c>
      <c r="M176" s="196">
        <f>0+4349.7</f>
        <v>4349.7</v>
      </c>
      <c r="N176" s="196">
        <f>2100-2100</f>
        <v>0</v>
      </c>
      <c r="O176" s="196">
        <f>SUM(G176:N176)</f>
        <v>4349.7</v>
      </c>
    </row>
    <row r="177" spans="1:15" ht="82.5" customHeight="1" x14ac:dyDescent="0.2">
      <c r="A177" s="274"/>
      <c r="B177" s="275"/>
      <c r="C177" s="264" t="s">
        <v>150</v>
      </c>
      <c r="D177" s="160" t="s">
        <v>71</v>
      </c>
      <c r="E177" s="203"/>
      <c r="F177" s="160" t="s">
        <v>13</v>
      </c>
      <c r="G177" s="202">
        <v>0</v>
      </c>
      <c r="H177" s="202">
        <v>0</v>
      </c>
      <c r="I177" s="202">
        <v>0</v>
      </c>
      <c r="J177" s="202">
        <v>0</v>
      </c>
      <c r="K177" s="202">
        <v>0</v>
      </c>
      <c r="L177" s="196">
        <v>4500</v>
      </c>
      <c r="M177" s="196">
        <f>5000-5000</f>
        <v>0</v>
      </c>
      <c r="N177" s="196">
        <v>5500</v>
      </c>
      <c r="O177" s="196">
        <f t="shared" ref="O177:O204" si="7">SUM(G177:N177)</f>
        <v>10000</v>
      </c>
    </row>
    <row r="178" spans="1:15" ht="86.25" customHeight="1" x14ac:dyDescent="0.2">
      <c r="A178" s="274"/>
      <c r="B178" s="275"/>
      <c r="C178" s="264" t="s">
        <v>151</v>
      </c>
      <c r="D178" s="160" t="s">
        <v>71</v>
      </c>
      <c r="E178" s="203"/>
      <c r="F178" s="160" t="s">
        <v>13</v>
      </c>
      <c r="G178" s="202">
        <v>0</v>
      </c>
      <c r="H178" s="202">
        <v>0</v>
      </c>
      <c r="I178" s="202">
        <v>0</v>
      </c>
      <c r="J178" s="202">
        <v>0</v>
      </c>
      <c r="K178" s="202">
        <v>0</v>
      </c>
      <c r="L178" s="196">
        <f>4000-349.7</f>
        <v>3650.3</v>
      </c>
      <c r="M178" s="196">
        <v>0</v>
      </c>
      <c r="N178" s="196">
        <v>0</v>
      </c>
      <c r="O178" s="196">
        <f t="shared" si="7"/>
        <v>3650.3</v>
      </c>
    </row>
    <row r="179" spans="1:15" ht="83.25" customHeight="1" x14ac:dyDescent="0.2">
      <c r="A179" s="276"/>
      <c r="B179" s="277"/>
      <c r="C179" s="167" t="s">
        <v>152</v>
      </c>
      <c r="D179" s="207" t="s">
        <v>71</v>
      </c>
      <c r="E179" s="248"/>
      <c r="F179" s="207" t="s">
        <v>13</v>
      </c>
      <c r="G179" s="202">
        <v>0</v>
      </c>
      <c r="H179" s="202">
        <v>0</v>
      </c>
      <c r="I179" s="202">
        <v>0</v>
      </c>
      <c r="J179" s="202">
        <v>0</v>
      </c>
      <c r="K179" s="202">
        <v>0</v>
      </c>
      <c r="L179" s="196">
        <v>0</v>
      </c>
      <c r="M179" s="196">
        <f>2500</f>
        <v>2500</v>
      </c>
      <c r="N179" s="196">
        <v>0</v>
      </c>
      <c r="O179" s="196">
        <f t="shared" si="7"/>
        <v>2500</v>
      </c>
    </row>
    <row r="180" spans="1:15" ht="20.25" customHeight="1" x14ac:dyDescent="0.2">
      <c r="A180" s="640">
        <v>14</v>
      </c>
      <c r="B180" s="640"/>
      <c r="C180" s="640"/>
      <c r="D180" s="640"/>
      <c r="E180" s="640"/>
      <c r="F180" s="640"/>
      <c r="G180" s="640"/>
      <c r="H180" s="640"/>
      <c r="I180" s="640"/>
      <c r="J180" s="640"/>
      <c r="K180" s="640"/>
      <c r="L180" s="640"/>
      <c r="M180" s="640"/>
      <c r="N180" s="640"/>
      <c r="O180" s="640"/>
    </row>
    <row r="181" spans="1:15" ht="19.5" customHeight="1" x14ac:dyDescent="0.2">
      <c r="A181" s="642" t="s">
        <v>255</v>
      </c>
      <c r="B181" s="643"/>
      <c r="C181" s="643"/>
      <c r="D181" s="643"/>
      <c r="E181" s="643"/>
      <c r="F181" s="643"/>
      <c r="G181" s="643"/>
      <c r="H181" s="643"/>
      <c r="I181" s="643"/>
      <c r="J181" s="643"/>
      <c r="K181" s="643"/>
      <c r="L181" s="643"/>
      <c r="M181" s="643"/>
      <c r="N181" s="643"/>
      <c r="O181" s="643"/>
    </row>
    <row r="182" spans="1:15" ht="27.75" customHeight="1" x14ac:dyDescent="0.2">
      <c r="A182" s="193">
        <v>1</v>
      </c>
      <c r="B182" s="193">
        <v>2</v>
      </c>
      <c r="C182" s="193">
        <v>3</v>
      </c>
      <c r="D182" s="193">
        <v>4</v>
      </c>
      <c r="E182" s="193">
        <v>5</v>
      </c>
      <c r="F182" s="193">
        <v>6</v>
      </c>
      <c r="G182" s="193">
        <v>7</v>
      </c>
      <c r="H182" s="193">
        <v>8</v>
      </c>
      <c r="I182" s="193">
        <v>9</v>
      </c>
      <c r="J182" s="193">
        <v>10</v>
      </c>
      <c r="K182" s="193">
        <v>11</v>
      </c>
      <c r="L182" s="193">
        <v>12</v>
      </c>
      <c r="M182" s="193">
        <v>13</v>
      </c>
      <c r="N182" s="193">
        <v>14</v>
      </c>
      <c r="O182" s="193">
        <v>15</v>
      </c>
    </row>
    <row r="183" spans="1:15" ht="71.25" customHeight="1" x14ac:dyDescent="0.2">
      <c r="A183" s="274"/>
      <c r="B183" s="275"/>
      <c r="C183" s="264" t="s">
        <v>153</v>
      </c>
      <c r="D183" s="160" t="s">
        <v>71</v>
      </c>
      <c r="E183" s="203"/>
      <c r="F183" s="160" t="s">
        <v>13</v>
      </c>
      <c r="G183" s="202">
        <v>0</v>
      </c>
      <c r="H183" s="202">
        <v>0</v>
      </c>
      <c r="I183" s="202">
        <v>0</v>
      </c>
      <c r="J183" s="202">
        <v>0</v>
      </c>
      <c r="K183" s="202">
        <v>0</v>
      </c>
      <c r="L183" s="230">
        <v>2500</v>
      </c>
      <c r="M183" s="230">
        <v>2750</v>
      </c>
      <c r="N183" s="230">
        <f>2900+2100-500</f>
        <v>4500</v>
      </c>
      <c r="O183" s="230">
        <f t="shared" si="7"/>
        <v>9750</v>
      </c>
    </row>
    <row r="184" spans="1:15" ht="69.75" customHeight="1" x14ac:dyDescent="0.2">
      <c r="A184" s="285"/>
      <c r="B184" s="280"/>
      <c r="C184" s="268" t="s">
        <v>154</v>
      </c>
      <c r="D184" s="122" t="s">
        <v>71</v>
      </c>
      <c r="E184" s="141"/>
      <c r="F184" s="225" t="s">
        <v>13</v>
      </c>
      <c r="G184" s="202">
        <v>0</v>
      </c>
      <c r="H184" s="202">
        <v>0</v>
      </c>
      <c r="I184" s="202">
        <v>0</v>
      </c>
      <c r="J184" s="202">
        <v>0</v>
      </c>
      <c r="K184" s="202">
        <v>0</v>
      </c>
      <c r="L184" s="196">
        <v>900</v>
      </c>
      <c r="M184" s="196">
        <v>0</v>
      </c>
      <c r="N184" s="196">
        <v>1100</v>
      </c>
      <c r="O184" s="196">
        <f t="shared" si="7"/>
        <v>2000</v>
      </c>
    </row>
    <row r="185" spans="1:15" ht="68.25" customHeight="1" x14ac:dyDescent="0.2">
      <c r="A185" s="285"/>
      <c r="B185" s="280"/>
      <c r="C185" s="159" t="s">
        <v>155</v>
      </c>
      <c r="D185" s="114" t="s">
        <v>71</v>
      </c>
      <c r="E185" s="141"/>
      <c r="F185" s="225" t="s">
        <v>13</v>
      </c>
      <c r="G185" s="202">
        <v>0</v>
      </c>
      <c r="H185" s="202">
        <v>0</v>
      </c>
      <c r="I185" s="202">
        <v>0</v>
      </c>
      <c r="J185" s="202">
        <v>0</v>
      </c>
      <c r="K185" s="202">
        <v>0</v>
      </c>
      <c r="L185" s="196">
        <v>300</v>
      </c>
      <c r="M185" s="196">
        <f>330-330</f>
        <v>0</v>
      </c>
      <c r="N185" s="196">
        <f>370-265.6</f>
        <v>104.39999999999998</v>
      </c>
      <c r="O185" s="196">
        <f t="shared" si="7"/>
        <v>404.4</v>
      </c>
    </row>
    <row r="186" spans="1:15" ht="69.75" customHeight="1" x14ac:dyDescent="0.2">
      <c r="A186" s="274"/>
      <c r="B186" s="275"/>
      <c r="C186" s="264" t="s">
        <v>156</v>
      </c>
      <c r="D186" s="160" t="s">
        <v>71</v>
      </c>
      <c r="E186" s="203"/>
      <c r="F186" s="160" t="s">
        <v>13</v>
      </c>
      <c r="G186" s="202">
        <v>0</v>
      </c>
      <c r="H186" s="202">
        <v>0</v>
      </c>
      <c r="I186" s="202">
        <v>0</v>
      </c>
      <c r="J186" s="202">
        <v>0</v>
      </c>
      <c r="K186" s="202">
        <v>0</v>
      </c>
      <c r="L186" s="196">
        <v>0</v>
      </c>
      <c r="M186" s="196">
        <v>0</v>
      </c>
      <c r="N186" s="196">
        <v>4000</v>
      </c>
      <c r="O186" s="196">
        <f t="shared" si="7"/>
        <v>4000</v>
      </c>
    </row>
    <row r="187" spans="1:15" ht="66" customHeight="1" x14ac:dyDescent="0.2">
      <c r="A187" s="274"/>
      <c r="B187" s="275"/>
      <c r="C187" s="264" t="s">
        <v>157</v>
      </c>
      <c r="D187" s="160" t="s">
        <v>71</v>
      </c>
      <c r="E187" s="203"/>
      <c r="F187" s="160" t="s">
        <v>13</v>
      </c>
      <c r="G187" s="202">
        <v>0</v>
      </c>
      <c r="H187" s="202">
        <v>0</v>
      </c>
      <c r="I187" s="202">
        <v>0</v>
      </c>
      <c r="J187" s="202">
        <v>0</v>
      </c>
      <c r="K187" s="202">
        <v>0</v>
      </c>
      <c r="L187" s="196">
        <v>0</v>
      </c>
      <c r="M187" s="196">
        <f>7000-2000</f>
        <v>5000</v>
      </c>
      <c r="N187" s="196">
        <v>7700</v>
      </c>
      <c r="O187" s="196">
        <f>SUM(G187:N187)</f>
        <v>12700</v>
      </c>
    </row>
    <row r="188" spans="1:15" ht="82.5" customHeight="1" x14ac:dyDescent="0.2">
      <c r="A188" s="274"/>
      <c r="B188" s="275"/>
      <c r="C188" s="264" t="s">
        <v>332</v>
      </c>
      <c r="D188" s="160" t="s">
        <v>71</v>
      </c>
      <c r="E188" s="203"/>
      <c r="F188" s="160" t="s">
        <v>13</v>
      </c>
      <c r="G188" s="202">
        <v>0</v>
      </c>
      <c r="H188" s="202">
        <v>0</v>
      </c>
      <c r="I188" s="202">
        <v>0</v>
      </c>
      <c r="J188" s="202">
        <v>0</v>
      </c>
      <c r="K188" s="202">
        <v>0</v>
      </c>
      <c r="L188" s="196">
        <f>5000-2397</f>
        <v>2603</v>
      </c>
      <c r="M188" s="196">
        <f>5500</f>
        <v>5500</v>
      </c>
      <c r="N188" s="196">
        <v>0</v>
      </c>
      <c r="O188" s="196">
        <f t="shared" si="7"/>
        <v>8103</v>
      </c>
    </row>
    <row r="189" spans="1:15" ht="75" customHeight="1" x14ac:dyDescent="0.2">
      <c r="A189" s="274"/>
      <c r="B189" s="275"/>
      <c r="C189" s="201" t="s">
        <v>159</v>
      </c>
      <c r="D189" s="160" t="s">
        <v>71</v>
      </c>
      <c r="E189" s="203"/>
      <c r="F189" s="160" t="s">
        <v>13</v>
      </c>
      <c r="G189" s="202">
        <v>0</v>
      </c>
      <c r="H189" s="202">
        <v>0</v>
      </c>
      <c r="I189" s="202">
        <v>0</v>
      </c>
      <c r="J189" s="202">
        <v>0</v>
      </c>
      <c r="K189" s="202">
        <v>0</v>
      </c>
      <c r="L189" s="196">
        <v>65000</v>
      </c>
      <c r="M189" s="196">
        <v>0</v>
      </c>
      <c r="N189" s="196">
        <v>0</v>
      </c>
      <c r="O189" s="196">
        <f t="shared" si="7"/>
        <v>65000</v>
      </c>
    </row>
    <row r="190" spans="1:15" ht="92.25" hidden="1" customHeight="1" x14ac:dyDescent="0.2">
      <c r="A190" s="274"/>
      <c r="B190" s="275"/>
      <c r="C190" s="264" t="s">
        <v>333</v>
      </c>
      <c r="D190" s="160" t="s">
        <v>71</v>
      </c>
      <c r="E190" s="203"/>
      <c r="F190" s="160" t="s">
        <v>213</v>
      </c>
      <c r="G190" s="202">
        <v>0</v>
      </c>
      <c r="H190" s="202">
        <v>0</v>
      </c>
      <c r="I190" s="202">
        <v>0</v>
      </c>
      <c r="J190" s="202">
        <v>0</v>
      </c>
      <c r="K190" s="202">
        <v>0</v>
      </c>
      <c r="L190" s="196">
        <v>0</v>
      </c>
      <c r="M190" s="196">
        <v>0</v>
      </c>
      <c r="N190" s="196">
        <v>0</v>
      </c>
      <c r="O190" s="196">
        <f t="shared" si="7"/>
        <v>0</v>
      </c>
    </row>
    <row r="191" spans="1:15" ht="33.75" hidden="1" customHeight="1" x14ac:dyDescent="0.2">
      <c r="A191" s="274"/>
      <c r="B191" s="275"/>
      <c r="C191" s="264" t="s">
        <v>334</v>
      </c>
      <c r="D191" s="160" t="s">
        <v>71</v>
      </c>
      <c r="E191" s="203"/>
      <c r="F191" s="160" t="s">
        <v>213</v>
      </c>
      <c r="G191" s="202">
        <v>0</v>
      </c>
      <c r="H191" s="202">
        <v>0</v>
      </c>
      <c r="I191" s="202">
        <v>0</v>
      </c>
      <c r="J191" s="202">
        <v>0</v>
      </c>
      <c r="K191" s="202">
        <v>0</v>
      </c>
      <c r="L191" s="196">
        <v>0</v>
      </c>
      <c r="M191" s="196">
        <v>0</v>
      </c>
      <c r="N191" s="196">
        <v>0</v>
      </c>
      <c r="O191" s="196">
        <f t="shared" si="7"/>
        <v>0</v>
      </c>
    </row>
    <row r="192" spans="1:15" ht="38.25" hidden="1" customHeight="1" x14ac:dyDescent="0.2">
      <c r="A192" s="274"/>
      <c r="B192" s="275"/>
      <c r="C192" s="264" t="s">
        <v>335</v>
      </c>
      <c r="D192" s="160" t="s">
        <v>71</v>
      </c>
      <c r="E192" s="203"/>
      <c r="F192" s="160" t="s">
        <v>213</v>
      </c>
      <c r="G192" s="202">
        <v>0</v>
      </c>
      <c r="H192" s="202">
        <v>0</v>
      </c>
      <c r="I192" s="202">
        <v>0</v>
      </c>
      <c r="J192" s="202">
        <v>0</v>
      </c>
      <c r="K192" s="202">
        <v>0</v>
      </c>
      <c r="L192" s="196">
        <v>0</v>
      </c>
      <c r="M192" s="196">
        <v>0</v>
      </c>
      <c r="N192" s="196">
        <v>0</v>
      </c>
      <c r="O192" s="196">
        <f t="shared" si="7"/>
        <v>0</v>
      </c>
    </row>
    <row r="193" spans="1:15" ht="69.75" hidden="1" customHeight="1" x14ac:dyDescent="0.2">
      <c r="A193" s="274"/>
      <c r="B193" s="275"/>
      <c r="C193" s="264" t="s">
        <v>336</v>
      </c>
      <c r="D193" s="160" t="s">
        <v>71</v>
      </c>
      <c r="E193" s="203"/>
      <c r="F193" s="160" t="s">
        <v>213</v>
      </c>
      <c r="G193" s="202">
        <v>0</v>
      </c>
      <c r="H193" s="202">
        <v>0</v>
      </c>
      <c r="I193" s="202">
        <v>0</v>
      </c>
      <c r="J193" s="202">
        <v>0</v>
      </c>
      <c r="K193" s="202">
        <v>0</v>
      </c>
      <c r="L193" s="196">
        <v>0</v>
      </c>
      <c r="M193" s="196">
        <v>0</v>
      </c>
      <c r="N193" s="196">
        <v>0</v>
      </c>
      <c r="O193" s="196">
        <f t="shared" si="7"/>
        <v>0</v>
      </c>
    </row>
    <row r="194" spans="1:15" ht="51" hidden="1" customHeight="1" x14ac:dyDescent="0.2">
      <c r="A194" s="274"/>
      <c r="B194" s="275"/>
      <c r="C194" s="264" t="s">
        <v>337</v>
      </c>
      <c r="D194" s="160" t="s">
        <v>71</v>
      </c>
      <c r="E194" s="203"/>
      <c r="F194" s="160" t="s">
        <v>213</v>
      </c>
      <c r="G194" s="202">
        <v>0</v>
      </c>
      <c r="H194" s="202">
        <v>0</v>
      </c>
      <c r="I194" s="202">
        <v>0</v>
      </c>
      <c r="J194" s="202">
        <v>0</v>
      </c>
      <c r="K194" s="202">
        <v>0</v>
      </c>
      <c r="L194" s="196">
        <v>0</v>
      </c>
      <c r="M194" s="196">
        <v>0</v>
      </c>
      <c r="N194" s="196">
        <v>0</v>
      </c>
      <c r="O194" s="196">
        <f t="shared" si="7"/>
        <v>0</v>
      </c>
    </row>
    <row r="195" spans="1:15" ht="36" hidden="1" customHeight="1" x14ac:dyDescent="0.2">
      <c r="A195" s="274"/>
      <c r="B195" s="275"/>
      <c r="C195" s="264" t="s">
        <v>338</v>
      </c>
      <c r="D195" s="160" t="s">
        <v>71</v>
      </c>
      <c r="E195" s="203"/>
      <c r="F195" s="160" t="s">
        <v>213</v>
      </c>
      <c r="G195" s="202">
        <v>0</v>
      </c>
      <c r="H195" s="202">
        <v>0</v>
      </c>
      <c r="I195" s="202">
        <v>0</v>
      </c>
      <c r="J195" s="202">
        <v>0</v>
      </c>
      <c r="K195" s="202">
        <v>0</v>
      </c>
      <c r="L195" s="196">
        <v>0</v>
      </c>
      <c r="M195" s="196">
        <v>0</v>
      </c>
      <c r="N195" s="196">
        <v>0</v>
      </c>
      <c r="O195" s="196">
        <f t="shared" si="7"/>
        <v>0</v>
      </c>
    </row>
    <row r="196" spans="1:15" ht="51" hidden="1" customHeight="1" x14ac:dyDescent="0.2">
      <c r="A196" s="274"/>
      <c r="B196" s="275"/>
      <c r="C196" s="264" t="s">
        <v>339</v>
      </c>
      <c r="D196" s="160" t="s">
        <v>71</v>
      </c>
      <c r="E196" s="203"/>
      <c r="F196" s="160" t="s">
        <v>213</v>
      </c>
      <c r="G196" s="202">
        <v>0</v>
      </c>
      <c r="H196" s="202">
        <v>0</v>
      </c>
      <c r="I196" s="202">
        <v>0</v>
      </c>
      <c r="J196" s="202">
        <v>0</v>
      </c>
      <c r="K196" s="202">
        <v>0</v>
      </c>
      <c r="L196" s="196">
        <v>0</v>
      </c>
      <c r="M196" s="196">
        <v>0</v>
      </c>
      <c r="N196" s="196">
        <v>0</v>
      </c>
      <c r="O196" s="196">
        <f t="shared" si="7"/>
        <v>0</v>
      </c>
    </row>
    <row r="197" spans="1:15" ht="141" hidden="1" customHeight="1" x14ac:dyDescent="0.2">
      <c r="A197" s="274"/>
      <c r="B197" s="275"/>
      <c r="C197" s="264" t="s">
        <v>340</v>
      </c>
      <c r="D197" s="160" t="s">
        <v>71</v>
      </c>
      <c r="E197" s="203"/>
      <c r="F197" s="160" t="s">
        <v>213</v>
      </c>
      <c r="G197" s="202">
        <v>0</v>
      </c>
      <c r="H197" s="202">
        <v>0</v>
      </c>
      <c r="I197" s="202">
        <v>0</v>
      </c>
      <c r="J197" s="202">
        <v>0</v>
      </c>
      <c r="K197" s="202">
        <v>0</v>
      </c>
      <c r="L197" s="196">
        <v>0</v>
      </c>
      <c r="M197" s="196">
        <v>0</v>
      </c>
      <c r="N197" s="196">
        <v>0</v>
      </c>
      <c r="O197" s="196">
        <f t="shared" si="7"/>
        <v>0</v>
      </c>
    </row>
    <row r="198" spans="1:15" ht="92.25" customHeight="1" x14ac:dyDescent="0.2">
      <c r="A198" s="274"/>
      <c r="B198" s="275"/>
      <c r="C198" s="264" t="s">
        <v>341</v>
      </c>
      <c r="D198" s="160" t="s">
        <v>71</v>
      </c>
      <c r="E198" s="203"/>
      <c r="F198" s="160" t="s">
        <v>13</v>
      </c>
      <c r="G198" s="202">
        <v>0</v>
      </c>
      <c r="H198" s="202">
        <v>0</v>
      </c>
      <c r="I198" s="202">
        <v>0</v>
      </c>
      <c r="J198" s="202">
        <v>0</v>
      </c>
      <c r="K198" s="202">
        <v>0</v>
      </c>
      <c r="L198" s="196">
        <v>0</v>
      </c>
      <c r="M198" s="196">
        <f>7700-7700</f>
        <v>0</v>
      </c>
      <c r="N198" s="196">
        <v>0</v>
      </c>
      <c r="O198" s="196">
        <f t="shared" si="7"/>
        <v>0</v>
      </c>
    </row>
    <row r="199" spans="1:15" ht="96.75" customHeight="1" x14ac:dyDescent="0.2">
      <c r="A199" s="274"/>
      <c r="B199" s="275"/>
      <c r="C199" s="264" t="s">
        <v>342</v>
      </c>
      <c r="D199" s="160" t="s">
        <v>71</v>
      </c>
      <c r="E199" s="203"/>
      <c r="F199" s="160" t="s">
        <v>13</v>
      </c>
      <c r="G199" s="202">
        <v>0</v>
      </c>
      <c r="H199" s="202">
        <v>0</v>
      </c>
      <c r="I199" s="202">
        <v>0</v>
      </c>
      <c r="J199" s="202">
        <v>0</v>
      </c>
      <c r="K199" s="202">
        <v>0</v>
      </c>
      <c r="L199" s="196">
        <v>0</v>
      </c>
      <c r="M199" s="196">
        <v>0</v>
      </c>
      <c r="N199" s="196">
        <v>8500</v>
      </c>
      <c r="O199" s="196">
        <f t="shared" si="7"/>
        <v>8500</v>
      </c>
    </row>
    <row r="200" spans="1:15" ht="135" customHeight="1" x14ac:dyDescent="0.2">
      <c r="A200" s="276"/>
      <c r="B200" s="277"/>
      <c r="C200" s="206" t="s">
        <v>343</v>
      </c>
      <c r="D200" s="207" t="s">
        <v>71</v>
      </c>
      <c r="E200" s="248"/>
      <c r="F200" s="207" t="s">
        <v>13</v>
      </c>
      <c r="G200" s="267">
        <v>0</v>
      </c>
      <c r="H200" s="202">
        <v>0</v>
      </c>
      <c r="I200" s="202">
        <v>0</v>
      </c>
      <c r="J200" s="202">
        <v>0</v>
      </c>
      <c r="K200" s="202">
        <v>0</v>
      </c>
      <c r="L200" s="196">
        <v>78600</v>
      </c>
      <c r="M200" s="196">
        <v>78400</v>
      </c>
      <c r="N200" s="196">
        <v>78500</v>
      </c>
      <c r="O200" s="196">
        <f>SUM(G200:N200)</f>
        <v>235500</v>
      </c>
    </row>
    <row r="201" spans="1:15" ht="20.25" customHeight="1" x14ac:dyDescent="0.2">
      <c r="A201" s="640">
        <v>15</v>
      </c>
      <c r="B201" s="640"/>
      <c r="C201" s="640"/>
      <c r="D201" s="640"/>
      <c r="E201" s="640"/>
      <c r="F201" s="640"/>
      <c r="G201" s="640"/>
      <c r="H201" s="640"/>
      <c r="I201" s="640"/>
      <c r="J201" s="640"/>
      <c r="K201" s="640"/>
      <c r="L201" s="640"/>
      <c r="M201" s="640"/>
      <c r="N201" s="640"/>
      <c r="O201" s="640"/>
    </row>
    <row r="202" spans="1:15" ht="14.25" customHeight="1" x14ac:dyDescent="0.2">
      <c r="A202" s="642" t="s">
        <v>255</v>
      </c>
      <c r="B202" s="643"/>
      <c r="C202" s="643"/>
      <c r="D202" s="643"/>
      <c r="E202" s="643"/>
      <c r="F202" s="643"/>
      <c r="G202" s="643"/>
      <c r="H202" s="643"/>
      <c r="I202" s="643"/>
      <c r="J202" s="643"/>
      <c r="K202" s="643"/>
      <c r="L202" s="643"/>
      <c r="M202" s="643"/>
      <c r="N202" s="643"/>
      <c r="O202" s="643"/>
    </row>
    <row r="203" spans="1:15" ht="36" customHeight="1" x14ac:dyDescent="0.2">
      <c r="A203" s="10">
        <v>1</v>
      </c>
      <c r="B203" s="10">
        <v>2</v>
      </c>
      <c r="C203" s="10">
        <v>3</v>
      </c>
      <c r="D203" s="193">
        <v>4</v>
      </c>
      <c r="E203" s="193">
        <v>5</v>
      </c>
      <c r="F203" s="193">
        <v>6</v>
      </c>
      <c r="G203" s="193">
        <v>7</v>
      </c>
      <c r="H203" s="193">
        <v>8</v>
      </c>
      <c r="I203" s="193">
        <v>9</v>
      </c>
      <c r="J203" s="193">
        <v>10</v>
      </c>
      <c r="K203" s="193">
        <v>11</v>
      </c>
      <c r="L203" s="193">
        <v>12</v>
      </c>
      <c r="M203" s="193">
        <v>13</v>
      </c>
      <c r="N203" s="193">
        <v>14</v>
      </c>
      <c r="O203" s="193">
        <v>15</v>
      </c>
    </row>
    <row r="204" spans="1:15" ht="70.5" customHeight="1" x14ac:dyDescent="0.2">
      <c r="A204" s="289"/>
      <c r="B204" s="290"/>
      <c r="C204" s="212" t="s">
        <v>344</v>
      </c>
      <c r="D204" s="160" t="s">
        <v>71</v>
      </c>
      <c r="E204" s="203"/>
      <c r="F204" s="160" t="s">
        <v>13</v>
      </c>
      <c r="G204" s="202">
        <v>0</v>
      </c>
      <c r="H204" s="202">
        <v>0</v>
      </c>
      <c r="I204" s="202">
        <v>0</v>
      </c>
      <c r="J204" s="202">
        <v>0</v>
      </c>
      <c r="K204" s="202">
        <v>0</v>
      </c>
      <c r="L204" s="196">
        <v>46839</v>
      </c>
      <c r="M204" s="196">
        <v>52023</v>
      </c>
      <c r="N204" s="196">
        <v>100985</v>
      </c>
      <c r="O204" s="196">
        <f t="shared" si="7"/>
        <v>199847</v>
      </c>
    </row>
    <row r="205" spans="1:15" ht="72.75" customHeight="1" x14ac:dyDescent="0.2">
      <c r="A205" s="278"/>
      <c r="B205" s="280"/>
      <c r="C205" s="281" t="s">
        <v>345</v>
      </c>
      <c r="D205" s="114" t="s">
        <v>71</v>
      </c>
      <c r="E205" s="141"/>
      <c r="F205" s="225" t="s">
        <v>13</v>
      </c>
      <c r="G205" s="202">
        <v>0</v>
      </c>
      <c r="H205" s="202">
        <v>0</v>
      </c>
      <c r="I205" s="202">
        <v>0</v>
      </c>
      <c r="J205" s="202">
        <v>0</v>
      </c>
      <c r="K205" s="202">
        <v>0</v>
      </c>
      <c r="L205" s="196">
        <v>487872.01</v>
      </c>
      <c r="M205" s="196">
        <f>565781.7-700</f>
        <v>565081.69999999995</v>
      </c>
      <c r="N205" s="196">
        <v>606173.69999999995</v>
      </c>
      <c r="O205" s="196">
        <f>SUM(G205:N205)</f>
        <v>1659127.41</v>
      </c>
    </row>
    <row r="206" spans="1:15" ht="72.75" customHeight="1" x14ac:dyDescent="0.2">
      <c r="A206" s="278"/>
      <c r="B206" s="280"/>
      <c r="C206" s="291" t="s">
        <v>346</v>
      </c>
      <c r="D206" s="225">
        <v>2021</v>
      </c>
      <c r="E206" s="213"/>
      <c r="F206" s="160" t="s">
        <v>13</v>
      </c>
      <c r="G206" s="202">
        <v>0</v>
      </c>
      <c r="H206" s="196">
        <v>0</v>
      </c>
      <c r="I206" s="196">
        <v>0</v>
      </c>
      <c r="J206" s="196">
        <v>0</v>
      </c>
      <c r="K206" s="196">
        <v>0</v>
      </c>
      <c r="L206" s="196">
        <v>241.5</v>
      </c>
      <c r="M206" s="196">
        <v>0</v>
      </c>
      <c r="N206" s="196">
        <v>0</v>
      </c>
      <c r="O206" s="196">
        <f t="shared" ref="O206:O218" si="8">SUM(G206:N206)</f>
        <v>241.5</v>
      </c>
    </row>
    <row r="207" spans="1:15" ht="73.5" customHeight="1" x14ac:dyDescent="0.2">
      <c r="A207" s="278"/>
      <c r="B207" s="280"/>
      <c r="C207" s="288" t="s">
        <v>347</v>
      </c>
      <c r="D207" s="225">
        <v>2021</v>
      </c>
      <c r="E207" s="213"/>
      <c r="F207" s="160" t="s">
        <v>13</v>
      </c>
      <c r="G207" s="202">
        <v>0</v>
      </c>
      <c r="H207" s="196">
        <v>0</v>
      </c>
      <c r="I207" s="196">
        <v>0</v>
      </c>
      <c r="J207" s="196">
        <v>0</v>
      </c>
      <c r="K207" s="196">
        <v>0</v>
      </c>
      <c r="L207" s="196">
        <f>0+400</f>
        <v>400</v>
      </c>
      <c r="M207" s="196">
        <v>0</v>
      </c>
      <c r="N207" s="196">
        <v>0</v>
      </c>
      <c r="O207" s="196">
        <f t="shared" si="8"/>
        <v>400</v>
      </c>
    </row>
    <row r="208" spans="1:15" ht="71.25" customHeight="1" x14ac:dyDescent="0.2">
      <c r="A208" s="278"/>
      <c r="B208" s="280"/>
      <c r="C208" s="288" t="s">
        <v>348</v>
      </c>
      <c r="D208" s="225">
        <v>2021</v>
      </c>
      <c r="E208" s="213"/>
      <c r="F208" s="160" t="s">
        <v>13</v>
      </c>
      <c r="G208" s="202">
        <v>0</v>
      </c>
      <c r="H208" s="196">
        <v>0</v>
      </c>
      <c r="I208" s="196">
        <v>0</v>
      </c>
      <c r="J208" s="196">
        <v>0</v>
      </c>
      <c r="K208" s="196">
        <v>0</v>
      </c>
      <c r="L208" s="196">
        <f>0+300</f>
        <v>300</v>
      </c>
      <c r="M208" s="196">
        <v>0</v>
      </c>
      <c r="N208" s="196">
        <v>0</v>
      </c>
      <c r="O208" s="196">
        <f t="shared" si="8"/>
        <v>300</v>
      </c>
    </row>
    <row r="209" spans="1:15" ht="70.5" customHeight="1" x14ac:dyDescent="0.2">
      <c r="A209" s="278"/>
      <c r="B209" s="280"/>
      <c r="C209" s="288" t="s">
        <v>349</v>
      </c>
      <c r="D209" s="225">
        <v>2021</v>
      </c>
      <c r="E209" s="213"/>
      <c r="F209" s="160" t="s">
        <v>13</v>
      </c>
      <c r="G209" s="202">
        <v>0</v>
      </c>
      <c r="H209" s="196">
        <v>0</v>
      </c>
      <c r="I209" s="196">
        <v>0</v>
      </c>
      <c r="J209" s="196">
        <v>0</v>
      </c>
      <c r="K209" s="196">
        <v>0</v>
      </c>
      <c r="L209" s="196">
        <v>2397</v>
      </c>
      <c r="M209" s="196">
        <v>0</v>
      </c>
      <c r="N209" s="196">
        <v>0</v>
      </c>
      <c r="O209" s="196">
        <f t="shared" si="8"/>
        <v>2397</v>
      </c>
    </row>
    <row r="210" spans="1:15" ht="72.75" customHeight="1" x14ac:dyDescent="0.2">
      <c r="A210" s="278"/>
      <c r="B210" s="280"/>
      <c r="C210" s="288" t="s">
        <v>166</v>
      </c>
      <c r="D210" s="123">
        <v>2022</v>
      </c>
      <c r="E210" s="132"/>
      <c r="F210" s="241" t="s">
        <v>13</v>
      </c>
      <c r="G210" s="202">
        <v>0</v>
      </c>
      <c r="H210" s="196">
        <v>0</v>
      </c>
      <c r="I210" s="196">
        <v>0</v>
      </c>
      <c r="J210" s="196">
        <v>0</v>
      </c>
      <c r="K210" s="196">
        <v>0</v>
      </c>
      <c r="L210" s="196">
        <v>0</v>
      </c>
      <c r="M210" s="196">
        <v>2500</v>
      </c>
      <c r="N210" s="196">
        <v>0</v>
      </c>
      <c r="O210" s="196">
        <f t="shared" si="8"/>
        <v>2500</v>
      </c>
    </row>
    <row r="211" spans="1:15" ht="68.25" customHeight="1" x14ac:dyDescent="0.2">
      <c r="A211" s="278"/>
      <c r="B211" s="280"/>
      <c r="C211" s="288" t="s">
        <v>167</v>
      </c>
      <c r="D211" s="111">
        <v>2021</v>
      </c>
      <c r="E211" s="132"/>
      <c r="F211" s="225" t="s">
        <v>13</v>
      </c>
      <c r="G211" s="202">
        <v>0</v>
      </c>
      <c r="H211" s="196">
        <v>0</v>
      </c>
      <c r="I211" s="196">
        <v>0</v>
      </c>
      <c r="J211" s="196">
        <v>0</v>
      </c>
      <c r="K211" s="196">
        <v>0</v>
      </c>
      <c r="L211" s="196">
        <v>0</v>
      </c>
      <c r="M211" s="196">
        <v>6400</v>
      </c>
      <c r="N211" s="196">
        <v>0</v>
      </c>
      <c r="O211" s="196">
        <f t="shared" si="8"/>
        <v>6400</v>
      </c>
    </row>
    <row r="212" spans="1:15" ht="70.5" customHeight="1" x14ac:dyDescent="0.2">
      <c r="A212" s="278"/>
      <c r="B212" s="280"/>
      <c r="C212" s="288" t="s">
        <v>168</v>
      </c>
      <c r="D212" s="225">
        <v>2021</v>
      </c>
      <c r="E212" s="213"/>
      <c r="F212" s="160" t="s">
        <v>13</v>
      </c>
      <c r="G212" s="202">
        <v>0</v>
      </c>
      <c r="H212" s="196">
        <v>0</v>
      </c>
      <c r="I212" s="196">
        <v>0</v>
      </c>
      <c r="J212" s="196">
        <v>0</v>
      </c>
      <c r="K212" s="196">
        <v>0</v>
      </c>
      <c r="L212" s="196">
        <v>0</v>
      </c>
      <c r="M212" s="196">
        <v>2600</v>
      </c>
      <c r="N212" s="196">
        <v>0</v>
      </c>
      <c r="O212" s="196">
        <f t="shared" si="8"/>
        <v>2600</v>
      </c>
    </row>
    <row r="213" spans="1:15" ht="70.5" customHeight="1" x14ac:dyDescent="0.2">
      <c r="A213" s="278"/>
      <c r="B213" s="280"/>
      <c r="C213" s="288" t="s">
        <v>169</v>
      </c>
      <c r="D213" s="225">
        <v>2021</v>
      </c>
      <c r="E213" s="208"/>
      <c r="F213" s="160" t="s">
        <v>13</v>
      </c>
      <c r="G213" s="202">
        <v>0</v>
      </c>
      <c r="H213" s="196">
        <v>0</v>
      </c>
      <c r="I213" s="196">
        <v>0</v>
      </c>
      <c r="J213" s="196">
        <v>0</v>
      </c>
      <c r="K213" s="196">
        <v>0</v>
      </c>
      <c r="L213" s="196">
        <v>0</v>
      </c>
      <c r="M213" s="196">
        <v>1500</v>
      </c>
      <c r="N213" s="196">
        <v>0</v>
      </c>
      <c r="O213" s="196">
        <f>SUM(G213:N213)</f>
        <v>1500</v>
      </c>
    </row>
    <row r="214" spans="1:15" ht="69.75" customHeight="1" x14ac:dyDescent="0.2">
      <c r="A214" s="278"/>
      <c r="B214" s="280"/>
      <c r="C214" s="288" t="s">
        <v>170</v>
      </c>
      <c r="D214" s="225">
        <v>2022</v>
      </c>
      <c r="E214" s="208"/>
      <c r="F214" s="160" t="s">
        <v>13</v>
      </c>
      <c r="G214" s="202">
        <v>0</v>
      </c>
      <c r="H214" s="196">
        <v>0</v>
      </c>
      <c r="I214" s="196">
        <v>0</v>
      </c>
      <c r="J214" s="196">
        <v>0</v>
      </c>
      <c r="K214" s="196">
        <v>0</v>
      </c>
      <c r="L214" s="196">
        <v>0</v>
      </c>
      <c r="M214" s="196">
        <v>700</v>
      </c>
      <c r="N214" s="196">
        <v>0</v>
      </c>
      <c r="O214" s="196">
        <f t="shared" si="8"/>
        <v>700</v>
      </c>
    </row>
    <row r="215" spans="1:15" ht="69.75" customHeight="1" x14ac:dyDescent="0.2">
      <c r="A215" s="278"/>
      <c r="B215" s="280"/>
      <c r="C215" s="292" t="s">
        <v>171</v>
      </c>
      <c r="D215" s="293">
        <v>2023</v>
      </c>
      <c r="E215" s="148"/>
      <c r="F215" s="293" t="s">
        <v>13</v>
      </c>
      <c r="G215" s="294">
        <v>0</v>
      </c>
      <c r="H215" s="202">
        <v>0</v>
      </c>
      <c r="I215" s="202">
        <v>0</v>
      </c>
      <c r="J215" s="202">
        <v>0</v>
      </c>
      <c r="K215" s="202">
        <v>0</v>
      </c>
      <c r="L215" s="196">
        <v>0</v>
      </c>
      <c r="M215" s="196">
        <v>0</v>
      </c>
      <c r="N215" s="196">
        <v>400</v>
      </c>
      <c r="O215" s="196">
        <f t="shared" si="8"/>
        <v>400</v>
      </c>
    </row>
    <row r="216" spans="1:15" ht="69.75" customHeight="1" x14ac:dyDescent="0.2">
      <c r="A216" s="278"/>
      <c r="B216" s="280"/>
      <c r="C216" s="292" t="s">
        <v>350</v>
      </c>
      <c r="D216" s="293">
        <v>2023</v>
      </c>
      <c r="E216" s="148"/>
      <c r="F216" s="293" t="s">
        <v>13</v>
      </c>
      <c r="G216" s="294">
        <v>0</v>
      </c>
      <c r="H216" s="202">
        <v>0</v>
      </c>
      <c r="I216" s="202">
        <v>0</v>
      </c>
      <c r="J216" s="202">
        <v>0</v>
      </c>
      <c r="K216" s="202">
        <v>0</v>
      </c>
      <c r="L216" s="196">
        <v>0</v>
      </c>
      <c r="M216" s="196">
        <v>0</v>
      </c>
      <c r="N216" s="196">
        <v>9800</v>
      </c>
      <c r="O216" s="196">
        <f t="shared" si="8"/>
        <v>9800</v>
      </c>
    </row>
    <row r="217" spans="1:15" ht="69.75" customHeight="1" x14ac:dyDescent="0.2">
      <c r="A217" s="278"/>
      <c r="B217" s="280"/>
      <c r="C217" s="292" t="s">
        <v>351</v>
      </c>
      <c r="D217" s="293">
        <v>2023</v>
      </c>
      <c r="E217" s="148"/>
      <c r="F217" s="293" t="s">
        <v>13</v>
      </c>
      <c r="G217" s="294">
        <v>0</v>
      </c>
      <c r="H217" s="202">
        <v>0</v>
      </c>
      <c r="I217" s="202">
        <v>0</v>
      </c>
      <c r="J217" s="202">
        <v>0</v>
      </c>
      <c r="K217" s="202">
        <v>0</v>
      </c>
      <c r="L217" s="196">
        <v>0</v>
      </c>
      <c r="M217" s="196">
        <v>0</v>
      </c>
      <c r="N217" s="196">
        <v>4100</v>
      </c>
      <c r="O217" s="196">
        <f t="shared" si="8"/>
        <v>4100</v>
      </c>
    </row>
    <row r="218" spans="1:15" ht="69.75" customHeight="1" x14ac:dyDescent="0.2">
      <c r="A218" s="283"/>
      <c r="B218" s="284"/>
      <c r="C218" s="295" t="s">
        <v>174</v>
      </c>
      <c r="D218" s="296">
        <v>2023</v>
      </c>
      <c r="E218" s="148"/>
      <c r="F218" s="296" t="s">
        <v>13</v>
      </c>
      <c r="G218" s="297">
        <v>0</v>
      </c>
      <c r="H218" s="298">
        <v>0</v>
      </c>
      <c r="I218" s="298">
        <v>0</v>
      </c>
      <c r="J218" s="298">
        <v>0</v>
      </c>
      <c r="K218" s="298">
        <v>0</v>
      </c>
      <c r="L218" s="299">
        <v>0</v>
      </c>
      <c r="M218" s="299">
        <v>0</v>
      </c>
      <c r="N218" s="299">
        <v>720</v>
      </c>
      <c r="O218" s="299">
        <f t="shared" si="8"/>
        <v>720</v>
      </c>
    </row>
    <row r="219" spans="1:15" ht="55.5" customHeight="1" x14ac:dyDescent="0.2">
      <c r="A219" s="638" t="s">
        <v>91</v>
      </c>
      <c r="B219" s="644"/>
      <c r="C219" s="645"/>
      <c r="D219" s="646"/>
      <c r="E219" s="647"/>
      <c r="F219" s="300" t="s">
        <v>124</v>
      </c>
      <c r="G219" s="301">
        <f t="shared" ref="G219:M219" si="9">G95+G96+G97+G98+G99+G100+G101+G102+G106+G107+G108+G109+G110+G111+G112+G113+G114+G118+G119+G120+G121+G122+G123+G124+G125+G126+G130+G131+G132+G134+G135+G136+G137+G138+G139+G140+G144+G145+G146+G147+G148+G149+G150+G151+G152+G153+G157+G158+G159+G160+G161+G162+G163+G164+G165+G169+G171+G172+G173+G174+G175+G176+G177+G178+G179+G183+G184+G185+G186+G187+G188+G189+G198+G199+G200+G204+G205+G206+G207+G208+G209+G210+G211+G212+G213+G214+G215+G216+G217+G218</f>
        <v>138423.32</v>
      </c>
      <c r="H219" s="301">
        <f t="shared" si="9"/>
        <v>204758.1</v>
      </c>
      <c r="I219" s="301">
        <f t="shared" si="9"/>
        <v>220709</v>
      </c>
      <c r="J219" s="301">
        <f t="shared" si="9"/>
        <v>313192.90000000002</v>
      </c>
      <c r="K219" s="301">
        <f t="shared" si="9"/>
        <v>421613.6</v>
      </c>
      <c r="L219" s="301">
        <f t="shared" si="9"/>
        <v>1308589.8</v>
      </c>
      <c r="M219" s="301">
        <f t="shared" si="9"/>
        <v>1406025</v>
      </c>
      <c r="N219" s="301">
        <f>N95+N96+N97+N98+N99+N100+N101+N102+N106+N107+N108+N109+N110+N111+N112+N113+N114+N118+N119+N120+N121+N122+N123+N124+N125+N126+N130+N131+N132+N134+N135+N136+N137+N138+N139+N140+N144+N145+N146+N147+N148+N149+N150+N151+N152+N153+N157+N158+N159+N160+N161+N162+N163+N164+N165+N169+N171+N172+N173+N174+N175+N176+N177+N178+N179+N183+N184+N185+N186+N187+N188+N189+N198+N199+N200+N204+N205+N206+N207+N208+N209+N210+N211+N212+N213+N214+N215+N216+N217+N218</f>
        <v>1203878.7</v>
      </c>
      <c r="O219" s="301">
        <f>O95+O96+O97+O98+O99+O100+O101+O102+O106+O107+O108+O109+O110+O111+O112+O113+O114+O118+O119+O120+O121+O122+O123+O124+O125+O126+O130+O131+O132+O134+O135+O136+O137+O138+O139+O140+O144+O145+O146+O147+O148+O149+O150+O151+O152+O153+O157+O158+O159+O160+O161+O162+O163+O164+O165+O169+O171+O172+O173+O174+O175+O176+O177+O178+O179+O183+O184+O185+O186+O187+O188+O189+O198+O199+O200+O204+O205+O206+O207+O208+O209+O210+O211+O212+O213+O214+O215+O216+O217+O218</f>
        <v>5217190.42</v>
      </c>
    </row>
    <row r="220" spans="1:15" ht="20.25" customHeight="1" x14ac:dyDescent="0.2">
      <c r="A220" s="640">
        <v>16</v>
      </c>
      <c r="B220" s="640"/>
      <c r="C220" s="640"/>
      <c r="D220" s="640"/>
      <c r="E220" s="640"/>
      <c r="F220" s="640"/>
      <c r="G220" s="640"/>
      <c r="H220" s="640"/>
      <c r="I220" s="640"/>
      <c r="J220" s="640"/>
      <c r="K220" s="640"/>
      <c r="L220" s="640"/>
      <c r="M220" s="640"/>
      <c r="N220" s="640"/>
      <c r="O220" s="640"/>
    </row>
    <row r="221" spans="1:15" ht="16.5" customHeight="1" x14ac:dyDescent="0.2">
      <c r="A221" s="642" t="s">
        <v>255</v>
      </c>
      <c r="B221" s="643"/>
      <c r="C221" s="643"/>
      <c r="D221" s="643"/>
      <c r="E221" s="643"/>
      <c r="F221" s="643"/>
      <c r="G221" s="643"/>
      <c r="H221" s="643"/>
      <c r="I221" s="643"/>
      <c r="J221" s="643"/>
      <c r="K221" s="643"/>
      <c r="L221" s="643"/>
      <c r="M221" s="643"/>
      <c r="N221" s="643"/>
      <c r="O221" s="643"/>
    </row>
    <row r="222" spans="1:15" ht="29.25" customHeight="1" x14ac:dyDescent="0.2">
      <c r="A222" s="222">
        <v>1</v>
      </c>
      <c r="B222" s="222">
        <v>2</v>
      </c>
      <c r="C222" s="243">
        <v>3</v>
      </c>
      <c r="D222" s="243">
        <v>4</v>
      </c>
      <c r="E222" s="222">
        <v>5</v>
      </c>
      <c r="F222" s="211">
        <v>6</v>
      </c>
      <c r="G222" s="193">
        <v>7</v>
      </c>
      <c r="H222" s="193">
        <v>8</v>
      </c>
      <c r="I222" s="193">
        <v>9</v>
      </c>
      <c r="J222" s="193">
        <v>10</v>
      </c>
      <c r="K222" s="193">
        <v>11</v>
      </c>
      <c r="L222" s="193">
        <v>12</v>
      </c>
      <c r="M222" s="193">
        <v>13</v>
      </c>
      <c r="N222" s="193">
        <v>14</v>
      </c>
      <c r="O222" s="193">
        <v>15</v>
      </c>
    </row>
    <row r="223" spans="1:15" ht="69" customHeight="1" x14ac:dyDescent="0.2">
      <c r="A223" s="302">
        <v>3</v>
      </c>
      <c r="B223" s="648" t="s">
        <v>209</v>
      </c>
      <c r="C223" s="109" t="s">
        <v>352</v>
      </c>
      <c r="D223" s="110" t="s">
        <v>61</v>
      </c>
      <c r="E223" s="649" t="s">
        <v>211</v>
      </c>
      <c r="F223" s="225" t="s">
        <v>13</v>
      </c>
      <c r="G223" s="196">
        <v>0</v>
      </c>
      <c r="H223" s="196">
        <v>0</v>
      </c>
      <c r="I223" s="196">
        <v>0</v>
      </c>
      <c r="J223" s="196">
        <v>4059.9</v>
      </c>
      <c r="K223" s="196">
        <v>20246.5</v>
      </c>
      <c r="L223" s="196">
        <v>48490</v>
      </c>
      <c r="M223" s="196">
        <v>51250</v>
      </c>
      <c r="N223" s="196">
        <f>53650-10623.9</f>
        <v>43026.1</v>
      </c>
      <c r="O223" s="196">
        <f>SUM(G223:N223)</f>
        <v>167072.5</v>
      </c>
    </row>
    <row r="224" spans="1:15" ht="44.25" hidden="1" customHeight="1" x14ac:dyDescent="0.2">
      <c r="A224" s="112"/>
      <c r="B224" s="560"/>
      <c r="C224" s="113" t="s">
        <v>212</v>
      </c>
      <c r="D224" s="114" t="s">
        <v>71</v>
      </c>
      <c r="E224" s="626"/>
      <c r="F224" s="303" t="s">
        <v>213</v>
      </c>
      <c r="G224" s="196">
        <v>0</v>
      </c>
      <c r="H224" s="196">
        <v>0</v>
      </c>
      <c r="I224" s="196">
        <v>0</v>
      </c>
      <c r="J224" s="196">
        <v>0</v>
      </c>
      <c r="K224" s="196">
        <v>0</v>
      </c>
      <c r="L224" s="196">
        <v>0</v>
      </c>
      <c r="M224" s="196"/>
      <c r="N224" s="196"/>
      <c r="O224" s="196">
        <f t="shared" ref="O224:O233" si="10">SUM(G224:N224)</f>
        <v>0</v>
      </c>
    </row>
    <row r="225" spans="1:15" ht="44.25" hidden="1" customHeight="1" x14ac:dyDescent="0.2">
      <c r="A225" s="112"/>
      <c r="B225" s="560"/>
      <c r="C225" s="304" t="s">
        <v>214</v>
      </c>
      <c r="D225" s="114" t="s">
        <v>71</v>
      </c>
      <c r="E225" s="626"/>
      <c r="F225" s="303" t="s">
        <v>213</v>
      </c>
      <c r="G225" s="196">
        <v>0</v>
      </c>
      <c r="H225" s="196">
        <v>0</v>
      </c>
      <c r="I225" s="196">
        <v>0</v>
      </c>
      <c r="J225" s="196">
        <v>0</v>
      </c>
      <c r="K225" s="196">
        <v>0</v>
      </c>
      <c r="L225" s="196">
        <v>0</v>
      </c>
      <c r="M225" s="196"/>
      <c r="N225" s="196"/>
      <c r="O225" s="196">
        <f t="shared" si="10"/>
        <v>0</v>
      </c>
    </row>
    <row r="226" spans="1:15" ht="78.75" customHeight="1" x14ac:dyDescent="0.2">
      <c r="A226" s="117"/>
      <c r="B226" s="560"/>
      <c r="C226" s="118" t="s">
        <v>215</v>
      </c>
      <c r="D226" s="111" t="s">
        <v>61</v>
      </c>
      <c r="E226" s="626"/>
      <c r="F226" s="225" t="s">
        <v>13</v>
      </c>
      <c r="G226" s="202">
        <v>0</v>
      </c>
      <c r="H226" s="202">
        <v>0</v>
      </c>
      <c r="I226" s="202">
        <v>0</v>
      </c>
      <c r="J226" s="202">
        <v>519.4</v>
      </c>
      <c r="K226" s="202">
        <v>1000</v>
      </c>
      <c r="L226" s="202">
        <v>1000</v>
      </c>
      <c r="M226" s="202">
        <v>1070</v>
      </c>
      <c r="N226" s="202">
        <v>1070</v>
      </c>
      <c r="O226" s="196">
        <f t="shared" si="10"/>
        <v>4659.3999999999996</v>
      </c>
    </row>
    <row r="227" spans="1:15" ht="78" customHeight="1" x14ac:dyDescent="0.2">
      <c r="A227" s="117"/>
      <c r="B227" s="560"/>
      <c r="C227" s="121" t="s">
        <v>216</v>
      </c>
      <c r="D227" s="122" t="s">
        <v>68</v>
      </c>
      <c r="E227" s="141" t="s">
        <v>217</v>
      </c>
      <c r="F227" s="241" t="s">
        <v>13</v>
      </c>
      <c r="G227" s="267">
        <v>0</v>
      </c>
      <c r="H227" s="267">
        <v>0</v>
      </c>
      <c r="I227" s="267">
        <v>0</v>
      </c>
      <c r="J227" s="267">
        <v>972</v>
      </c>
      <c r="K227" s="202">
        <v>3900</v>
      </c>
      <c r="L227" s="202">
        <v>0</v>
      </c>
      <c r="M227" s="202">
        <v>0</v>
      </c>
      <c r="N227" s="202">
        <v>0</v>
      </c>
      <c r="O227" s="196">
        <f t="shared" si="10"/>
        <v>4872</v>
      </c>
    </row>
    <row r="228" spans="1:15" ht="66.75" customHeight="1" x14ac:dyDescent="0.2">
      <c r="A228" s="124"/>
      <c r="B228" s="125"/>
      <c r="C228" s="305" t="s">
        <v>218</v>
      </c>
      <c r="D228" s="282">
        <v>2020</v>
      </c>
      <c r="E228" s="125"/>
      <c r="F228" s="225" t="s">
        <v>13</v>
      </c>
      <c r="G228" s="202">
        <v>0</v>
      </c>
      <c r="H228" s="202">
        <v>0</v>
      </c>
      <c r="I228" s="202">
        <v>0</v>
      </c>
      <c r="J228" s="202">
        <v>0</v>
      </c>
      <c r="K228" s="202">
        <v>900</v>
      </c>
      <c r="L228" s="202">
        <v>0</v>
      </c>
      <c r="M228" s="202">
        <v>0</v>
      </c>
      <c r="N228" s="202">
        <v>0</v>
      </c>
      <c r="O228" s="196">
        <f>SUM(G228:N228)</f>
        <v>900</v>
      </c>
    </row>
    <row r="229" spans="1:15" ht="72" customHeight="1" x14ac:dyDescent="0.2">
      <c r="A229" s="124"/>
      <c r="B229" s="125"/>
      <c r="C229" s="118" t="s">
        <v>219</v>
      </c>
      <c r="D229" s="128" t="s">
        <v>109</v>
      </c>
      <c r="E229" s="125"/>
      <c r="F229" s="225" t="s">
        <v>13</v>
      </c>
      <c r="G229" s="202">
        <v>0</v>
      </c>
      <c r="H229" s="202">
        <v>0</v>
      </c>
      <c r="I229" s="202">
        <v>0</v>
      </c>
      <c r="J229" s="202">
        <v>0</v>
      </c>
      <c r="K229" s="202">
        <v>350</v>
      </c>
      <c r="L229" s="202">
        <v>370</v>
      </c>
      <c r="M229" s="202">
        <v>0</v>
      </c>
      <c r="N229" s="202">
        <v>0</v>
      </c>
      <c r="O229" s="196">
        <f>SUM(G229:N229)</f>
        <v>720</v>
      </c>
    </row>
    <row r="230" spans="1:15" ht="77.25" customHeight="1" x14ac:dyDescent="0.2">
      <c r="A230" s="124"/>
      <c r="B230" s="125"/>
      <c r="C230" s="129" t="s">
        <v>220</v>
      </c>
      <c r="D230" s="122" t="s">
        <v>109</v>
      </c>
      <c r="E230" s="125"/>
      <c r="F230" s="241" t="s">
        <v>13</v>
      </c>
      <c r="G230" s="267">
        <v>0</v>
      </c>
      <c r="H230" s="202">
        <v>0</v>
      </c>
      <c r="I230" s="202">
        <v>0</v>
      </c>
      <c r="J230" s="202">
        <v>0</v>
      </c>
      <c r="K230" s="202">
        <v>1000</v>
      </c>
      <c r="L230" s="202">
        <v>3000</v>
      </c>
      <c r="M230" s="202">
        <v>3000</v>
      </c>
      <c r="N230" s="202">
        <v>3000</v>
      </c>
      <c r="O230" s="196">
        <f>SUM(G230:N230)</f>
        <v>10000</v>
      </c>
    </row>
    <row r="231" spans="1:15" ht="71.25" customHeight="1" x14ac:dyDescent="0.2">
      <c r="A231" s="117"/>
      <c r="B231" s="130"/>
      <c r="C231" s="155" t="s">
        <v>353</v>
      </c>
      <c r="D231" s="114">
        <v>2020</v>
      </c>
      <c r="E231" s="132"/>
      <c r="F231" s="225" t="s">
        <v>13</v>
      </c>
      <c r="G231" s="202">
        <v>0</v>
      </c>
      <c r="H231" s="202">
        <v>0</v>
      </c>
      <c r="I231" s="202">
        <v>0</v>
      </c>
      <c r="J231" s="202">
        <v>0</v>
      </c>
      <c r="K231" s="202">
        <v>2450</v>
      </c>
      <c r="L231" s="202">
        <v>0</v>
      </c>
      <c r="M231" s="202">
        <v>0</v>
      </c>
      <c r="N231" s="202">
        <v>0</v>
      </c>
      <c r="O231" s="196">
        <f t="shared" si="10"/>
        <v>2450</v>
      </c>
    </row>
    <row r="232" spans="1:15" ht="89.25" customHeight="1" x14ac:dyDescent="0.2">
      <c r="A232" s="117"/>
      <c r="B232" s="130"/>
      <c r="C232" s="155" t="s">
        <v>354</v>
      </c>
      <c r="D232" s="114">
        <v>2020</v>
      </c>
      <c r="E232" s="132"/>
      <c r="F232" s="225" t="s">
        <v>13</v>
      </c>
      <c r="G232" s="202">
        <v>0</v>
      </c>
      <c r="H232" s="202">
        <v>0</v>
      </c>
      <c r="I232" s="202">
        <v>0</v>
      </c>
      <c r="J232" s="202">
        <v>0</v>
      </c>
      <c r="K232" s="202">
        <v>4500</v>
      </c>
      <c r="L232" s="202">
        <v>0</v>
      </c>
      <c r="M232" s="202">
        <v>0</v>
      </c>
      <c r="N232" s="202">
        <v>0</v>
      </c>
      <c r="O232" s="196">
        <f t="shared" si="10"/>
        <v>4500</v>
      </c>
    </row>
    <row r="233" spans="1:15" ht="75" customHeight="1" x14ac:dyDescent="0.2">
      <c r="A233" s="117"/>
      <c r="B233" s="130"/>
      <c r="C233" s="129" t="s">
        <v>223</v>
      </c>
      <c r="D233" s="122" t="s">
        <v>109</v>
      </c>
      <c r="E233" s="132"/>
      <c r="F233" s="225" t="s">
        <v>13</v>
      </c>
      <c r="G233" s="202">
        <v>0</v>
      </c>
      <c r="H233" s="202">
        <v>0</v>
      </c>
      <c r="I233" s="202">
        <v>0</v>
      </c>
      <c r="J233" s="202">
        <v>0</v>
      </c>
      <c r="K233" s="202">
        <v>5160</v>
      </c>
      <c r="L233" s="202">
        <v>5000</v>
      </c>
      <c r="M233" s="202">
        <v>0</v>
      </c>
      <c r="N233" s="202">
        <v>0</v>
      </c>
      <c r="O233" s="196">
        <f t="shared" si="10"/>
        <v>10160</v>
      </c>
    </row>
    <row r="234" spans="1:15" ht="112.5" customHeight="1" x14ac:dyDescent="0.2">
      <c r="A234" s="306"/>
      <c r="B234" s="215"/>
      <c r="C234" s="121" t="s">
        <v>355</v>
      </c>
      <c r="D234" s="140" t="s">
        <v>71</v>
      </c>
      <c r="E234" s="239"/>
      <c r="F234" s="241" t="s">
        <v>13</v>
      </c>
      <c r="G234" s="202">
        <v>0</v>
      </c>
      <c r="H234" s="202">
        <v>0</v>
      </c>
      <c r="I234" s="202">
        <v>0</v>
      </c>
      <c r="J234" s="202">
        <v>0</v>
      </c>
      <c r="K234" s="202">
        <v>0</v>
      </c>
      <c r="L234" s="202">
        <v>3150</v>
      </c>
      <c r="M234" s="202">
        <v>3125</v>
      </c>
      <c r="N234" s="202">
        <v>3125</v>
      </c>
      <c r="O234" s="196">
        <f>SUM(G234:N234)</f>
        <v>9400</v>
      </c>
    </row>
    <row r="235" spans="1:15" ht="15" customHeight="1" x14ac:dyDescent="0.2">
      <c r="A235" s="640">
        <v>17</v>
      </c>
      <c r="B235" s="640"/>
      <c r="C235" s="640"/>
      <c r="D235" s="640"/>
      <c r="E235" s="640"/>
      <c r="F235" s="640"/>
      <c r="G235" s="640"/>
      <c r="H235" s="640"/>
      <c r="I235" s="640"/>
      <c r="J235" s="640"/>
      <c r="K235" s="640"/>
      <c r="L235" s="640"/>
      <c r="M235" s="640"/>
      <c r="N235" s="640"/>
      <c r="O235" s="640"/>
    </row>
    <row r="236" spans="1:15" ht="12" customHeight="1" x14ac:dyDescent="0.2">
      <c r="A236" s="642" t="s">
        <v>356</v>
      </c>
      <c r="B236" s="643"/>
      <c r="C236" s="643"/>
      <c r="D236" s="643"/>
      <c r="E236" s="643"/>
      <c r="F236" s="643"/>
      <c r="G236" s="643"/>
      <c r="H236" s="643"/>
      <c r="I236" s="643"/>
      <c r="J236" s="643"/>
      <c r="K236" s="643"/>
      <c r="L236" s="643"/>
      <c r="M236" s="643"/>
      <c r="N236" s="643"/>
      <c r="O236" s="643"/>
    </row>
    <row r="237" spans="1:15" ht="14.25" customHeight="1" x14ac:dyDescent="0.2">
      <c r="A237" s="10">
        <v>1</v>
      </c>
      <c r="B237" s="10">
        <v>2</v>
      </c>
      <c r="C237" s="193">
        <v>3</v>
      </c>
      <c r="D237" s="193">
        <v>4</v>
      </c>
      <c r="E237" s="10">
        <v>5</v>
      </c>
      <c r="F237" s="193">
        <v>6</v>
      </c>
      <c r="G237" s="193">
        <v>7</v>
      </c>
      <c r="H237" s="193">
        <v>8</v>
      </c>
      <c r="I237" s="193">
        <v>9</v>
      </c>
      <c r="J237" s="193">
        <v>10</v>
      </c>
      <c r="K237" s="193">
        <v>11</v>
      </c>
      <c r="L237" s="193">
        <v>12</v>
      </c>
      <c r="M237" s="193">
        <v>13</v>
      </c>
      <c r="N237" s="193">
        <v>14</v>
      </c>
      <c r="O237" s="193">
        <v>15</v>
      </c>
    </row>
    <row r="238" spans="1:15" ht="66" customHeight="1" x14ac:dyDescent="0.2">
      <c r="A238" s="307"/>
      <c r="B238" s="308"/>
      <c r="C238" s="121" t="s">
        <v>225</v>
      </c>
      <c r="D238" s="140" t="s">
        <v>71</v>
      </c>
      <c r="E238" s="296"/>
      <c r="F238" s="225" t="s">
        <v>13</v>
      </c>
      <c r="G238" s="202">
        <v>0</v>
      </c>
      <c r="H238" s="202">
        <v>0</v>
      </c>
      <c r="I238" s="202">
        <v>0</v>
      </c>
      <c r="J238" s="202">
        <v>0</v>
      </c>
      <c r="K238" s="202">
        <v>0</v>
      </c>
      <c r="L238" s="202">
        <f>5350-5350</f>
        <v>0</v>
      </c>
      <c r="M238" s="202">
        <f>5350-5350</f>
        <v>0</v>
      </c>
      <c r="N238" s="202">
        <f>5350-5350</f>
        <v>0</v>
      </c>
      <c r="O238" s="196">
        <f>SUM(G238:N238)</f>
        <v>0</v>
      </c>
    </row>
    <row r="239" spans="1:15" ht="64.5" customHeight="1" x14ac:dyDescent="0.2">
      <c r="A239" s="135"/>
      <c r="B239" s="139"/>
      <c r="C239" s="305" t="s">
        <v>226</v>
      </c>
      <c r="D239" s="282" t="s">
        <v>71</v>
      </c>
      <c r="E239" s="132"/>
      <c r="F239" s="309" t="s">
        <v>13</v>
      </c>
      <c r="G239" s="202">
        <v>0</v>
      </c>
      <c r="H239" s="202">
        <v>0</v>
      </c>
      <c r="I239" s="202">
        <v>0</v>
      </c>
      <c r="J239" s="202">
        <v>0</v>
      </c>
      <c r="K239" s="202">
        <v>0</v>
      </c>
      <c r="L239" s="202">
        <v>6500</v>
      </c>
      <c r="M239" s="202">
        <v>750</v>
      </c>
      <c r="N239" s="202">
        <v>750</v>
      </c>
      <c r="O239" s="196">
        <f>SUM(G239:N239)</f>
        <v>8000</v>
      </c>
    </row>
    <row r="240" spans="1:15" ht="147.75" customHeight="1" x14ac:dyDescent="0.2">
      <c r="A240" s="135"/>
      <c r="B240" s="139"/>
      <c r="C240" s="142" t="s">
        <v>227</v>
      </c>
      <c r="D240" s="143">
        <v>2023</v>
      </c>
      <c r="E240" s="239"/>
      <c r="F240" s="143" t="s">
        <v>13</v>
      </c>
      <c r="G240" s="294">
        <v>0</v>
      </c>
      <c r="H240" s="202">
        <v>0</v>
      </c>
      <c r="I240" s="202">
        <v>0</v>
      </c>
      <c r="J240" s="202">
        <v>0</v>
      </c>
      <c r="K240" s="202">
        <v>0</v>
      </c>
      <c r="L240" s="202">
        <v>0</v>
      </c>
      <c r="M240" s="202">
        <v>0</v>
      </c>
      <c r="N240" s="310">
        <f>10623.9-934.29</f>
        <v>9689.61</v>
      </c>
      <c r="O240" s="311">
        <f>SUM(G240:N240)</f>
        <v>9689.61</v>
      </c>
    </row>
    <row r="241" spans="1:15" ht="71.25" customHeight="1" x14ac:dyDescent="0.2">
      <c r="A241" s="144"/>
      <c r="B241" s="145"/>
      <c r="C241" s="312" t="s">
        <v>228</v>
      </c>
      <c r="D241" s="296">
        <v>2023</v>
      </c>
      <c r="E241" s="148"/>
      <c r="F241" s="293" t="s">
        <v>13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20">
        <v>934.28800000000001</v>
      </c>
      <c r="O241" s="311">
        <f>SUM(G241:N241)</f>
        <v>934.28800000000001</v>
      </c>
    </row>
    <row r="242" spans="1:15" ht="66" customHeight="1" x14ac:dyDescent="0.2">
      <c r="A242" s="638" t="s">
        <v>91</v>
      </c>
      <c r="B242" s="639"/>
      <c r="C242" s="313"/>
      <c r="D242" s="138"/>
      <c r="E242" s="314"/>
      <c r="F242" s="314" t="s">
        <v>13</v>
      </c>
      <c r="G242" s="315">
        <f t="shared" ref="G242:M242" si="11">G223+G226+G227+G228+G229+G230+G231+G232+G233+G234+G238+G239+G240+G241</f>
        <v>0</v>
      </c>
      <c r="H242" s="315">
        <f t="shared" si="11"/>
        <v>0</v>
      </c>
      <c r="I242" s="315">
        <f t="shared" si="11"/>
        <v>0</v>
      </c>
      <c r="J242" s="315">
        <f t="shared" si="11"/>
        <v>5551.3</v>
      </c>
      <c r="K242" s="315">
        <f t="shared" si="11"/>
        <v>39506.5</v>
      </c>
      <c r="L242" s="315">
        <f t="shared" si="11"/>
        <v>67510</v>
      </c>
      <c r="M242" s="315">
        <f t="shared" si="11"/>
        <v>59195</v>
      </c>
      <c r="N242" s="315">
        <f>N223+N226+N227+N228+N229+N230+N231+N232+N233+N234+N238+N239+N240+N241</f>
        <v>61594.998</v>
      </c>
      <c r="O242" s="315">
        <f>O223+O226+O227+O228+O229+O230+O231+O232+O233+O234+O238+O239+O240+O241</f>
        <v>233357.79800000001</v>
      </c>
    </row>
    <row r="243" spans="1:15" ht="85.5" customHeight="1" x14ac:dyDescent="0.2">
      <c r="A243" s="151">
        <v>4</v>
      </c>
      <c r="B243" s="130" t="s">
        <v>229</v>
      </c>
      <c r="C243" s="152" t="s">
        <v>230</v>
      </c>
      <c r="D243" s="153">
        <v>2020</v>
      </c>
      <c r="E243" s="154" t="s">
        <v>231</v>
      </c>
      <c r="F243" s="207" t="s">
        <v>13</v>
      </c>
      <c r="G243" s="267">
        <v>0</v>
      </c>
      <c r="H243" s="202">
        <v>0</v>
      </c>
      <c r="I243" s="202">
        <v>0</v>
      </c>
      <c r="J243" s="202">
        <v>0</v>
      </c>
      <c r="K243" s="202">
        <v>167.43</v>
      </c>
      <c r="L243" s="202">
        <v>0</v>
      </c>
      <c r="M243" s="202">
        <v>0</v>
      </c>
      <c r="N243" s="202">
        <v>0</v>
      </c>
      <c r="O243" s="196">
        <f>SUM(G243:N243)</f>
        <v>167.43</v>
      </c>
    </row>
    <row r="244" spans="1:15" ht="114.75" customHeight="1" x14ac:dyDescent="0.2">
      <c r="A244" s="151"/>
      <c r="B244" s="130"/>
      <c r="C244" s="155" t="s">
        <v>357</v>
      </c>
      <c r="D244" s="160" t="s">
        <v>18</v>
      </c>
      <c r="E244" s="161" t="s">
        <v>233</v>
      </c>
      <c r="F244" s="160" t="s">
        <v>13</v>
      </c>
      <c r="G244" s="196">
        <v>199.92</v>
      </c>
      <c r="H244" s="196">
        <v>0</v>
      </c>
      <c r="I244" s="196">
        <v>0</v>
      </c>
      <c r="J244" s="196">
        <v>0</v>
      </c>
      <c r="K244" s="196">
        <v>0</v>
      </c>
      <c r="L244" s="196">
        <v>0</v>
      </c>
      <c r="M244" s="196">
        <v>0</v>
      </c>
      <c r="N244" s="196">
        <v>0</v>
      </c>
      <c r="O244" s="196">
        <f>SUM(G244:N244)</f>
        <v>199.92</v>
      </c>
    </row>
    <row r="245" spans="1:15" ht="90" customHeight="1" x14ac:dyDescent="0.2">
      <c r="A245" s="157"/>
      <c r="B245" s="158"/>
      <c r="C245" s="159" t="s">
        <v>234</v>
      </c>
      <c r="D245" s="160">
        <v>2021</v>
      </c>
      <c r="E245" s="161" t="s">
        <v>231</v>
      </c>
      <c r="F245" s="160" t="s">
        <v>13</v>
      </c>
      <c r="G245" s="202">
        <v>0</v>
      </c>
      <c r="H245" s="202">
        <v>0</v>
      </c>
      <c r="I245" s="202">
        <v>0</v>
      </c>
      <c r="J245" s="202">
        <v>0</v>
      </c>
      <c r="K245" s="202">
        <v>0</v>
      </c>
      <c r="L245" s="202">
        <v>485.1</v>
      </c>
      <c r="M245" s="202">
        <v>0</v>
      </c>
      <c r="N245" s="202">
        <v>0</v>
      </c>
      <c r="O245" s="196">
        <f>SUM(G245:N245)</f>
        <v>485.1</v>
      </c>
    </row>
    <row r="246" spans="1:15" ht="90" customHeight="1" x14ac:dyDescent="0.2">
      <c r="A246" s="162"/>
      <c r="B246" s="163"/>
      <c r="C246" s="159" t="s">
        <v>235</v>
      </c>
      <c r="D246" s="160">
        <v>2022</v>
      </c>
      <c r="E246" s="161" t="s">
        <v>231</v>
      </c>
      <c r="F246" s="160" t="s">
        <v>13</v>
      </c>
      <c r="G246" s="202">
        <v>0</v>
      </c>
      <c r="H246" s="202">
        <v>0</v>
      </c>
      <c r="I246" s="202">
        <v>0</v>
      </c>
      <c r="J246" s="202">
        <v>0</v>
      </c>
      <c r="K246" s="202">
        <v>0</v>
      </c>
      <c r="L246" s="202">
        <v>0</v>
      </c>
      <c r="M246" s="202">
        <v>488.9</v>
      </c>
      <c r="N246" s="202">
        <v>0</v>
      </c>
      <c r="O246" s="196">
        <f>SUM(G246:N246)</f>
        <v>488.9</v>
      </c>
    </row>
    <row r="247" spans="1:15" ht="65.25" customHeight="1" x14ac:dyDescent="0.2">
      <c r="A247" s="605" t="s">
        <v>91</v>
      </c>
      <c r="B247" s="605"/>
      <c r="C247" s="606"/>
      <c r="D247" s="606"/>
      <c r="E247" s="606"/>
      <c r="F247" s="160" t="s">
        <v>13</v>
      </c>
      <c r="G247" s="315">
        <f t="shared" ref="G247:N247" si="12">G243+G244+G245</f>
        <v>199.92</v>
      </c>
      <c r="H247" s="315">
        <f t="shared" si="12"/>
        <v>0</v>
      </c>
      <c r="I247" s="315">
        <f t="shared" si="12"/>
        <v>0</v>
      </c>
      <c r="J247" s="315">
        <f t="shared" si="12"/>
        <v>0</v>
      </c>
      <c r="K247" s="315">
        <f t="shared" si="12"/>
        <v>167.43</v>
      </c>
      <c r="L247" s="315">
        <f t="shared" si="12"/>
        <v>485.1</v>
      </c>
      <c r="M247" s="315">
        <f>M243+M244+M245+M246</f>
        <v>488.9</v>
      </c>
      <c r="N247" s="315">
        <f t="shared" si="12"/>
        <v>0</v>
      </c>
      <c r="O247" s="315">
        <f>O243+O244+O245+O246</f>
        <v>1341.35</v>
      </c>
    </row>
    <row r="248" spans="1:15" ht="88.5" customHeight="1" x14ac:dyDescent="0.2">
      <c r="A248" s="165">
        <v>5</v>
      </c>
      <c r="B248" s="166" t="s">
        <v>236</v>
      </c>
      <c r="C248" s="167" t="s">
        <v>237</v>
      </c>
      <c r="D248" s="168" t="s">
        <v>238</v>
      </c>
      <c r="E248" s="169" t="s">
        <v>231</v>
      </c>
      <c r="F248" s="207" t="s">
        <v>13</v>
      </c>
      <c r="G248" s="242">
        <v>0</v>
      </c>
      <c r="H248" s="196">
        <v>300</v>
      </c>
      <c r="I248" s="196">
        <v>0</v>
      </c>
      <c r="J248" s="196">
        <v>0</v>
      </c>
      <c r="K248" s="196">
        <v>0</v>
      </c>
      <c r="L248" s="196">
        <v>1469</v>
      </c>
      <c r="M248" s="196">
        <v>0</v>
      </c>
      <c r="N248" s="196">
        <v>0</v>
      </c>
      <c r="O248" s="196">
        <f>SUM(G248:N248)</f>
        <v>1769</v>
      </c>
    </row>
    <row r="249" spans="1:15" ht="19.5" customHeight="1" x14ac:dyDescent="0.2">
      <c r="A249" s="640">
        <v>18</v>
      </c>
      <c r="B249" s="640"/>
      <c r="C249" s="640"/>
      <c r="D249" s="640"/>
      <c r="E249" s="640"/>
      <c r="F249" s="640"/>
      <c r="G249" s="640"/>
      <c r="H249" s="640"/>
      <c r="I249" s="640"/>
      <c r="J249" s="640"/>
      <c r="K249" s="640"/>
      <c r="L249" s="640"/>
      <c r="M249" s="640"/>
      <c r="N249" s="640"/>
      <c r="O249" s="640"/>
    </row>
    <row r="250" spans="1:15" ht="28.5" customHeight="1" x14ac:dyDescent="0.2">
      <c r="A250" s="641" t="s">
        <v>356</v>
      </c>
      <c r="B250" s="641"/>
      <c r="C250" s="641"/>
      <c r="D250" s="641"/>
      <c r="E250" s="641"/>
      <c r="F250" s="641"/>
      <c r="G250" s="641"/>
      <c r="H250" s="641"/>
      <c r="I250" s="641"/>
      <c r="J250" s="641"/>
      <c r="K250" s="641"/>
      <c r="L250" s="641"/>
      <c r="M250" s="641"/>
      <c r="N250" s="641"/>
      <c r="O250" s="641"/>
    </row>
    <row r="251" spans="1:15" ht="28.5" customHeight="1" x14ac:dyDescent="0.2">
      <c r="A251" s="193">
        <v>1</v>
      </c>
      <c r="B251" s="193">
        <v>2</v>
      </c>
      <c r="C251" s="193">
        <v>3</v>
      </c>
      <c r="D251" s="193">
        <v>4</v>
      </c>
      <c r="E251" s="193">
        <v>5</v>
      </c>
      <c r="F251" s="193">
        <v>6</v>
      </c>
      <c r="G251" s="193">
        <v>7</v>
      </c>
      <c r="H251" s="193">
        <v>8</v>
      </c>
      <c r="I251" s="193">
        <v>9</v>
      </c>
      <c r="J251" s="193">
        <v>10</v>
      </c>
      <c r="K251" s="193">
        <v>11</v>
      </c>
      <c r="L251" s="193">
        <v>12</v>
      </c>
      <c r="M251" s="193">
        <v>13</v>
      </c>
      <c r="N251" s="193">
        <v>14</v>
      </c>
      <c r="O251" s="193">
        <v>15</v>
      </c>
    </row>
    <row r="252" spans="1:15" ht="123" customHeight="1" x14ac:dyDescent="0.2">
      <c r="A252" s="170" t="s">
        <v>124</v>
      </c>
      <c r="B252" s="171" t="s">
        <v>124</v>
      </c>
      <c r="C252" s="172" t="s">
        <v>239</v>
      </c>
      <c r="D252" s="173">
        <v>2021</v>
      </c>
      <c r="E252" s="316" t="s">
        <v>231</v>
      </c>
      <c r="F252" s="160" t="s">
        <v>13</v>
      </c>
      <c r="G252" s="196">
        <v>0</v>
      </c>
      <c r="H252" s="196">
        <v>0</v>
      </c>
      <c r="I252" s="196">
        <v>0</v>
      </c>
      <c r="J252" s="196">
        <v>0</v>
      </c>
      <c r="K252" s="196">
        <v>0</v>
      </c>
      <c r="L252" s="196">
        <v>31</v>
      </c>
      <c r="M252" s="196">
        <v>0</v>
      </c>
      <c r="N252" s="196">
        <v>0</v>
      </c>
      <c r="O252" s="196">
        <f>SUM(G252:N252)</f>
        <v>31</v>
      </c>
    </row>
    <row r="253" spans="1:15" ht="69.75" customHeight="1" x14ac:dyDescent="0.2">
      <c r="A253" s="597" t="s">
        <v>91</v>
      </c>
      <c r="B253" s="597"/>
      <c r="C253" s="598"/>
      <c r="D253" s="598"/>
      <c r="E253" s="598"/>
      <c r="F253" s="160" t="s">
        <v>13</v>
      </c>
      <c r="G253" s="317">
        <f>G248+G252</f>
        <v>0</v>
      </c>
      <c r="H253" s="317">
        <f t="shared" ref="H253:O253" si="13">H248+H252</f>
        <v>300</v>
      </c>
      <c r="I253" s="317">
        <f t="shared" si="13"/>
        <v>0</v>
      </c>
      <c r="J253" s="317">
        <f t="shared" si="13"/>
        <v>0</v>
      </c>
      <c r="K253" s="317">
        <f t="shared" si="13"/>
        <v>0</v>
      </c>
      <c r="L253" s="317">
        <f t="shared" si="13"/>
        <v>1500</v>
      </c>
      <c r="M253" s="317">
        <f t="shared" si="13"/>
        <v>0</v>
      </c>
      <c r="N253" s="317">
        <f t="shared" si="13"/>
        <v>0</v>
      </c>
      <c r="O253" s="317">
        <f t="shared" si="13"/>
        <v>1800</v>
      </c>
    </row>
    <row r="254" spans="1:15" ht="73.5" customHeight="1" x14ac:dyDescent="0.2">
      <c r="A254" s="585" t="s">
        <v>241</v>
      </c>
      <c r="B254" s="585"/>
      <c r="C254" s="176"/>
      <c r="D254" s="177"/>
      <c r="E254" s="178"/>
      <c r="F254" s="160" t="s">
        <v>13</v>
      </c>
      <c r="G254" s="318">
        <f t="shared" ref="G254:O254" si="14">G247+G91+G219+G242+G253</f>
        <v>254461.71999999997</v>
      </c>
      <c r="H254" s="318">
        <f t="shared" si="14"/>
        <v>419562.19999999995</v>
      </c>
      <c r="I254" s="318">
        <f t="shared" si="14"/>
        <v>461134.5</v>
      </c>
      <c r="J254" s="318">
        <f t="shared" si="14"/>
        <v>614158.40000000014</v>
      </c>
      <c r="K254" s="318">
        <f t="shared" si="14"/>
        <v>910764.79</v>
      </c>
      <c r="L254" s="318">
        <f t="shared" si="14"/>
        <v>2006163.4</v>
      </c>
      <c r="M254" s="318">
        <f t="shared" si="14"/>
        <v>2130497.2000000002</v>
      </c>
      <c r="N254" s="318">
        <f t="shared" si="14"/>
        <v>2120341.898</v>
      </c>
      <c r="O254" s="318">
        <f t="shared" si="14"/>
        <v>8917084.1080000009</v>
      </c>
    </row>
    <row r="255" spans="1:15" ht="0.75" customHeight="1" x14ac:dyDescent="0.2">
      <c r="A255" s="180"/>
      <c r="B255" s="181"/>
      <c r="C255" s="182"/>
      <c r="D255" s="183"/>
      <c r="E255" s="183"/>
      <c r="F255" s="184"/>
      <c r="G255" s="319"/>
      <c r="H255" s="319"/>
      <c r="I255" s="319"/>
      <c r="J255" s="319"/>
      <c r="K255" s="319"/>
      <c r="L255" s="319"/>
      <c r="M255" s="185"/>
      <c r="N255" s="185"/>
      <c r="O255" s="186"/>
    </row>
    <row r="256" spans="1:15" ht="30.75" customHeight="1" x14ac:dyDescent="0.2">
      <c r="A256" s="180"/>
      <c r="B256" s="614" t="s">
        <v>242</v>
      </c>
      <c r="C256" s="614"/>
      <c r="D256" s="614"/>
      <c r="E256" s="614"/>
      <c r="F256" s="614"/>
      <c r="G256" s="614"/>
      <c r="H256" s="614"/>
      <c r="I256" s="614"/>
      <c r="J256" s="614"/>
      <c r="K256" s="614"/>
      <c r="L256" s="614"/>
      <c r="M256" s="614"/>
      <c r="N256" s="614"/>
      <c r="O256" s="614"/>
    </row>
    <row r="257" spans="2:15" ht="72.75" customHeight="1" x14ac:dyDescent="0.25">
      <c r="B257" s="187" t="s">
        <v>124</v>
      </c>
      <c r="C257" s="187"/>
      <c r="D257" s="187"/>
      <c r="E257" s="187"/>
    </row>
    <row r="258" spans="2:15" s="17" customFormat="1" ht="27" x14ac:dyDescent="0.35">
      <c r="B258" s="604" t="s">
        <v>243</v>
      </c>
      <c r="C258" s="604"/>
      <c r="D258" s="604"/>
      <c r="E258" s="604"/>
      <c r="F258" s="604"/>
      <c r="G258" s="604"/>
      <c r="H258" s="604"/>
      <c r="I258" s="604"/>
      <c r="J258" s="604"/>
      <c r="K258" s="604"/>
    </row>
    <row r="259" spans="2:15" s="17" customFormat="1" x14ac:dyDescent="0.2"/>
    <row r="263" spans="2:15" x14ac:dyDescent="0.2">
      <c r="G263" s="107">
        <f>G254-'[1]додаток сесія_1901_решение'!G246</f>
        <v>0</v>
      </c>
      <c r="H263" s="107">
        <f>H254-'[1]додаток сесія_1901_решение'!H246</f>
        <v>0</v>
      </c>
      <c r="I263" s="107">
        <f>I254-'[1]додаток сесія_1901_решение'!I246</f>
        <v>0</v>
      </c>
      <c r="J263" s="107">
        <f>J254-'[1]додаток сесія_1901_решение'!J246</f>
        <v>0</v>
      </c>
      <c r="K263" s="107">
        <f>K254-'[1]додаток сесія_1901_решение'!K246</f>
        <v>0</v>
      </c>
      <c r="L263" s="107">
        <f>L254-'[1]додаток сесія_1901_решение'!L246</f>
        <v>0</v>
      </c>
      <c r="M263" s="107">
        <f>M254-'[1]додаток сесія_1901_решение'!M246</f>
        <v>0</v>
      </c>
      <c r="N263" s="107">
        <f>N254-'[1]додаток сесія_1901_решение'!N246</f>
        <v>-1.999999862164259E-3</v>
      </c>
      <c r="O263" s="107">
        <f>O254-'[1]додаток сесія_1901_решение'!O246</f>
        <v>-2.0000003278255463E-3</v>
      </c>
    </row>
    <row r="264" spans="2:15" x14ac:dyDescent="0.2">
      <c r="G264" s="107">
        <f>G219-'[1]додаток сесія_1901_решение'!G212</f>
        <v>0</v>
      </c>
      <c r="H264" s="107">
        <f>H219-'[1]додаток сесія_1901_решение'!H212</f>
        <v>0</v>
      </c>
      <c r="I264" s="107">
        <f>I219-'[1]додаток сесія_1901_решение'!I212</f>
        <v>0</v>
      </c>
      <c r="J264" s="107">
        <f>J219-'[1]додаток сесія_1901_решение'!J212</f>
        <v>0</v>
      </c>
      <c r="K264" s="107">
        <f>K219-'[1]додаток сесія_1901_решение'!K212</f>
        <v>0</v>
      </c>
      <c r="L264" s="107">
        <f>L219-'[1]додаток сесія_1901_решение'!L212</f>
        <v>0</v>
      </c>
      <c r="M264" s="107">
        <f>M219-'[1]додаток сесія_1901_решение'!M212</f>
        <v>0</v>
      </c>
      <c r="N264" s="107">
        <f>N219-'[1]додаток сесія_1901_решение'!N212</f>
        <v>0</v>
      </c>
      <c r="O264" s="107">
        <f>O219-'[1]додаток сесія_1901_решение'!O212</f>
        <v>0</v>
      </c>
    </row>
    <row r="265" spans="2:15" x14ac:dyDescent="0.2">
      <c r="G265" s="107">
        <f>G91-'[1]додаток сесія_1901_решение'!G88</f>
        <v>0</v>
      </c>
      <c r="H265" s="107">
        <f>H91-'[1]додаток сесія_1901_решение'!H88</f>
        <v>0</v>
      </c>
      <c r="I265" s="107">
        <f>I91-'[1]додаток сесія_1901_решение'!I88</f>
        <v>0</v>
      </c>
      <c r="J265" s="107">
        <f>J91-'[1]додаток сесія_1901_решение'!J88</f>
        <v>0</v>
      </c>
      <c r="K265" s="107">
        <f>K91-'[1]додаток сесія_1901_решение'!K88</f>
        <v>0</v>
      </c>
      <c r="L265" s="107">
        <f>L91-'[1]додаток сесія_1901_решение'!L88</f>
        <v>0</v>
      </c>
      <c r="M265" s="107">
        <f>M91-'[1]додаток сесія_1901_решение'!M88</f>
        <v>0</v>
      </c>
      <c r="N265" s="107">
        <f>N91-'[1]додаток сесія_1901_решение'!N88</f>
        <v>0</v>
      </c>
      <c r="O265" s="107">
        <f>O91-'[1]додаток сесія_1901_решение'!O88</f>
        <v>0</v>
      </c>
    </row>
    <row r="266" spans="2:15" x14ac:dyDescent="0.2">
      <c r="G266" s="107">
        <f>G91-'[1]додаток сесія_1901_решение'!G88</f>
        <v>0</v>
      </c>
      <c r="H266" s="107">
        <f>H91-'[1]додаток сесія_1901_решение'!H88</f>
        <v>0</v>
      </c>
      <c r="I266" s="107">
        <f>I91-'[1]додаток сесія_1901_решение'!I88</f>
        <v>0</v>
      </c>
      <c r="J266" s="107">
        <f>J91-'[1]додаток сесія_1901_решение'!J88</f>
        <v>0</v>
      </c>
      <c r="K266" s="107">
        <f>K91-'[1]додаток сесія_1901_решение'!K88</f>
        <v>0</v>
      </c>
      <c r="L266" s="107">
        <f>L91-'[1]додаток сесія_1901_решение'!L88</f>
        <v>0</v>
      </c>
      <c r="M266" s="107">
        <f>M91-'[1]додаток сесія_1901_решение'!M88</f>
        <v>0</v>
      </c>
      <c r="N266" s="107">
        <f>N91-'[1]додаток сесія_1901_решение'!N88</f>
        <v>0</v>
      </c>
      <c r="O266" s="107">
        <f>O91-'[1]додаток сесія_1901_решение'!O88</f>
        <v>0</v>
      </c>
    </row>
    <row r="267" spans="2:15" x14ac:dyDescent="0.2">
      <c r="G267" s="107">
        <f>G219-'[1]додаток сесія_1901_решение'!G212</f>
        <v>0</v>
      </c>
      <c r="H267" s="107">
        <f>H219-'[1]додаток сесія_1901_решение'!H212</f>
        <v>0</v>
      </c>
      <c r="I267" s="107">
        <f>I219-'[1]додаток сесія_1901_решение'!I212</f>
        <v>0</v>
      </c>
      <c r="J267" s="107">
        <f>J219-'[1]додаток сесія_1901_решение'!J212</f>
        <v>0</v>
      </c>
      <c r="K267" s="107">
        <f>K219-'[1]додаток сесія_1901_решение'!K212</f>
        <v>0</v>
      </c>
      <c r="L267" s="107">
        <f>L219-'[1]додаток сесія_1901_решение'!L212</f>
        <v>0</v>
      </c>
      <c r="M267" s="107">
        <f>M219-'[1]додаток сесія_1901_решение'!M212</f>
        <v>0</v>
      </c>
      <c r="N267" s="107">
        <f>N219-'[1]додаток сесія_1901_решение'!N212</f>
        <v>0</v>
      </c>
      <c r="O267" s="107">
        <f>O219-'[1]додаток сесія_1901_решение'!O212</f>
        <v>0</v>
      </c>
    </row>
    <row r="268" spans="2:15" x14ac:dyDescent="0.2">
      <c r="G268" s="107">
        <f>G242-'[1]додаток сесія_1901_решение'!G234</f>
        <v>0</v>
      </c>
      <c r="H268" s="107">
        <f>H242-'[1]додаток сесія_1901_решение'!H234</f>
        <v>0</v>
      </c>
      <c r="I268" s="107">
        <f>I242-'[1]додаток сесія_1901_решение'!I234</f>
        <v>0</v>
      </c>
      <c r="J268" s="107">
        <f>J242-'[1]додаток сесія_1901_решение'!J234</f>
        <v>0</v>
      </c>
      <c r="K268" s="107">
        <f>K242-'[1]додаток сесія_1901_решение'!K234</f>
        <v>0</v>
      </c>
      <c r="L268" s="107">
        <f>L242-'[1]додаток сесія_1901_решение'!L234</f>
        <v>0</v>
      </c>
      <c r="M268" s="107">
        <f>M242-'[1]додаток сесія_1901_решение'!M234</f>
        <v>0</v>
      </c>
      <c r="N268" s="107">
        <f>N242-'[1]додаток сесія_1901_решение'!N234</f>
        <v>-2.0000000004074536E-3</v>
      </c>
      <c r="O268" s="107">
        <f>O242-'[1]додаток сесія_1901_решение'!O234</f>
        <v>-1.9999999785795808E-3</v>
      </c>
    </row>
  </sheetData>
  <sheetProtection selectLockedCells="1" selectUnlockedCells="1"/>
  <mergeCells count="80">
    <mergeCell ref="M10:M11"/>
    <mergeCell ref="N10:N11"/>
    <mergeCell ref="J2:O2"/>
    <mergeCell ref="J3:O3"/>
    <mergeCell ref="L4:O4"/>
    <mergeCell ref="M5:O5"/>
    <mergeCell ref="A6:O6"/>
    <mergeCell ref="A8:A11"/>
    <mergeCell ref="B8:B11"/>
    <mergeCell ref="C8:C11"/>
    <mergeCell ref="D8:D11"/>
    <mergeCell ref="E8:E11"/>
    <mergeCell ref="D51:D62"/>
    <mergeCell ref="F51:F62"/>
    <mergeCell ref="O10:O11"/>
    <mergeCell ref="B13:B16"/>
    <mergeCell ref="E13:E21"/>
    <mergeCell ref="A24:O24"/>
    <mergeCell ref="A25:O25"/>
    <mergeCell ref="B27:B29"/>
    <mergeCell ref="F8:F11"/>
    <mergeCell ref="G8:O9"/>
    <mergeCell ref="G10:G11"/>
    <mergeCell ref="H10:H11"/>
    <mergeCell ref="I10:I11"/>
    <mergeCell ref="J10:J11"/>
    <mergeCell ref="K10:K11"/>
    <mergeCell ref="L10:L11"/>
    <mergeCell ref="A36:O36"/>
    <mergeCell ref="A37:O37"/>
    <mergeCell ref="A44:O44"/>
    <mergeCell ref="A45:O45"/>
    <mergeCell ref="A47:A50"/>
    <mergeCell ref="A103:O103"/>
    <mergeCell ref="A64:O64"/>
    <mergeCell ref="A65:O65"/>
    <mergeCell ref="A70:A71"/>
    <mergeCell ref="A76:O76"/>
    <mergeCell ref="A77:O77"/>
    <mergeCell ref="B81:B83"/>
    <mergeCell ref="A82:A83"/>
    <mergeCell ref="A91:B91"/>
    <mergeCell ref="A92:O92"/>
    <mergeCell ref="A93:O93"/>
    <mergeCell ref="B95:B96"/>
    <mergeCell ref="E95:E96"/>
    <mergeCell ref="A167:O167"/>
    <mergeCell ref="A104:O104"/>
    <mergeCell ref="B113:B114"/>
    <mergeCell ref="A115:O115"/>
    <mergeCell ref="A116:O116"/>
    <mergeCell ref="A127:O127"/>
    <mergeCell ref="A128:O128"/>
    <mergeCell ref="A141:O141"/>
    <mergeCell ref="A142:O142"/>
    <mergeCell ref="A154:O154"/>
    <mergeCell ref="A155:O155"/>
    <mergeCell ref="A166:O166"/>
    <mergeCell ref="A236:O236"/>
    <mergeCell ref="A180:O180"/>
    <mergeCell ref="A181:O181"/>
    <mergeCell ref="A201:O201"/>
    <mergeCell ref="A202:O202"/>
    <mergeCell ref="A219:B219"/>
    <mergeCell ref="C219:E219"/>
    <mergeCell ref="A220:O220"/>
    <mergeCell ref="A221:O221"/>
    <mergeCell ref="B223:B227"/>
    <mergeCell ref="E223:E226"/>
    <mergeCell ref="A235:O235"/>
    <mergeCell ref="A254:B254"/>
    <mergeCell ref="B256:O256"/>
    <mergeCell ref="B258:K258"/>
    <mergeCell ref="A242:B242"/>
    <mergeCell ref="A247:B247"/>
    <mergeCell ref="C247:E247"/>
    <mergeCell ref="A249:O249"/>
    <mergeCell ref="A250:O250"/>
    <mergeCell ref="A253:B253"/>
    <mergeCell ref="C253:E253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0" firstPageNumber="0" fitToHeight="23" orientation="landscape" r:id="rId1"/>
  <headerFooter alignWithMargins="0"/>
  <rowBreaks count="16" manualBreakCount="16">
    <brk id="23" min="1" max="14" man="1"/>
    <brk id="35" max="14" man="1"/>
    <brk id="43" max="14" man="1"/>
    <brk id="63" max="14" man="1"/>
    <brk id="75" max="14" man="1"/>
    <brk id="91" max="14" man="1"/>
    <brk id="102" max="14" man="1"/>
    <brk id="114" max="14" man="1"/>
    <brk id="126" max="14" man="1"/>
    <brk id="140" max="14" man="1"/>
    <brk id="153" max="14" man="1"/>
    <brk id="165" max="14" man="1"/>
    <brk id="179" max="14" man="1"/>
    <brk id="200" max="14" man="1"/>
    <brk id="234" max="14" man="1"/>
    <brk id="248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6"/>
  <sheetViews>
    <sheetView view="pageBreakPreview" zoomScale="91" zoomScaleNormal="100" zoomScaleSheetLayoutView="91" workbookViewId="0">
      <pane xSplit="13" ySplit="11" topLeftCell="N193" activePane="bottomRight" state="frozen"/>
      <selection pane="topRight" activeCell="N1" sqref="N1"/>
      <selection pane="bottomLeft" activeCell="A12" sqref="A12"/>
      <selection pane="bottomRight" activeCell="R2" sqref="R2"/>
    </sheetView>
  </sheetViews>
  <sheetFormatPr defaultRowHeight="13.5" x14ac:dyDescent="0.2"/>
  <cols>
    <col min="1" max="1" width="5.85546875" style="1" customWidth="1"/>
    <col min="2" max="2" width="17.140625" style="1" customWidth="1"/>
    <col min="3" max="3" width="62.85546875" style="2" customWidth="1"/>
    <col min="4" max="4" width="7.7109375" style="1" customWidth="1"/>
    <col min="5" max="5" width="20" style="1" customWidth="1"/>
    <col min="6" max="6" width="22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2.85546875" style="1" customWidth="1"/>
    <col min="15" max="15" width="13.140625" style="1" customWidth="1"/>
    <col min="16" max="16" width="12.42578125" style="1" customWidth="1"/>
    <col min="17" max="17" width="13" style="1" customWidth="1"/>
    <col min="18" max="18" width="13.140625" style="1" customWidth="1"/>
    <col min="19" max="19" width="13.7109375" style="1" customWidth="1"/>
    <col min="20" max="20" width="13.28515625" style="1" customWidth="1"/>
    <col min="21" max="21" width="14.28515625" style="1" customWidth="1"/>
    <col min="22" max="22" width="14.5703125" style="1" customWidth="1"/>
    <col min="23" max="23" width="13.42578125" style="1" customWidth="1"/>
    <col min="24" max="16384" width="9.140625" style="1"/>
  </cols>
  <sheetData>
    <row r="1" spans="1:23" ht="23.25" customHeight="1" x14ac:dyDescent="0.35">
      <c r="A1" s="4"/>
      <c r="B1" s="4"/>
      <c r="C1" s="5"/>
      <c r="D1" s="4"/>
      <c r="E1" s="4"/>
      <c r="F1" s="4"/>
      <c r="G1" s="4"/>
      <c r="H1" s="4"/>
      <c r="I1" s="6"/>
      <c r="J1" s="320"/>
      <c r="K1" s="320"/>
      <c r="L1" s="320"/>
      <c r="M1" s="320"/>
      <c r="N1" s="320"/>
      <c r="O1" s="320"/>
      <c r="P1" s="320"/>
      <c r="Q1" s="320"/>
      <c r="R1" s="495" t="s">
        <v>439</v>
      </c>
      <c r="S1" s="494"/>
      <c r="T1" s="320"/>
      <c r="U1" s="320"/>
    </row>
    <row r="2" spans="1:23" ht="19.5" customHeight="1" x14ac:dyDescent="0.35">
      <c r="A2" s="4"/>
      <c r="B2" s="4"/>
      <c r="C2" s="5"/>
      <c r="D2" s="4"/>
      <c r="E2" s="4"/>
      <c r="F2" s="4"/>
      <c r="G2" s="4"/>
      <c r="H2" s="4"/>
      <c r="I2" s="4"/>
      <c r="J2" s="321"/>
      <c r="K2" s="496"/>
      <c r="L2" s="496"/>
      <c r="M2" s="496"/>
      <c r="N2" s="496"/>
      <c r="O2" s="496"/>
      <c r="P2" s="496"/>
      <c r="Q2" s="496"/>
      <c r="R2" s="495" t="s">
        <v>360</v>
      </c>
      <c r="S2" s="494"/>
      <c r="T2" s="496"/>
      <c r="U2" s="496"/>
    </row>
    <row r="3" spans="1:23" ht="15.75" customHeight="1" x14ac:dyDescent="0.3">
      <c r="A3" s="4"/>
      <c r="B3" s="4"/>
      <c r="C3" s="5"/>
      <c r="D3" s="4"/>
      <c r="E3" s="4"/>
      <c r="F3" s="4"/>
      <c r="G3" s="4"/>
      <c r="H3" s="4"/>
      <c r="I3" s="4"/>
      <c r="J3" s="496"/>
      <c r="K3" s="496"/>
      <c r="L3" s="552"/>
      <c r="M3" s="553"/>
      <c r="N3" s="553"/>
      <c r="O3" s="553"/>
      <c r="P3" s="553"/>
      <c r="Q3" s="553"/>
      <c r="R3" s="553"/>
      <c r="S3" s="553"/>
      <c r="T3" s="553"/>
      <c r="U3" s="553"/>
    </row>
    <row r="4" spans="1:23" ht="15.75" customHeight="1" x14ac:dyDescent="0.3">
      <c r="A4" s="4"/>
      <c r="B4" s="4"/>
      <c r="C4" s="5"/>
      <c r="D4" s="4"/>
      <c r="E4" s="4"/>
      <c r="F4" s="4"/>
      <c r="G4" s="4"/>
      <c r="H4" s="4"/>
      <c r="I4" s="4"/>
      <c r="J4" s="497"/>
      <c r="K4" s="497"/>
      <c r="L4" s="497"/>
      <c r="M4" s="554"/>
      <c r="N4" s="554"/>
      <c r="O4" s="555"/>
      <c r="P4" s="555"/>
      <c r="Q4" s="555"/>
      <c r="R4" s="555"/>
      <c r="S4" s="555"/>
      <c r="T4" s="555"/>
      <c r="U4" s="555"/>
    </row>
    <row r="5" spans="1:23" ht="53.25" customHeight="1" x14ac:dyDescent="0.4">
      <c r="A5" s="556" t="s">
        <v>440</v>
      </c>
      <c r="B5" s="556"/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6"/>
      <c r="P5" s="556"/>
      <c r="Q5" s="556"/>
      <c r="R5" s="556"/>
      <c r="S5" s="556"/>
      <c r="T5" s="556"/>
      <c r="U5" s="556"/>
    </row>
    <row r="7" spans="1:23" ht="12.75" customHeight="1" x14ac:dyDescent="0.2">
      <c r="A7" s="608" t="s">
        <v>1</v>
      </c>
      <c r="B7" s="590" t="s">
        <v>2</v>
      </c>
      <c r="C7" s="608" t="s">
        <v>3</v>
      </c>
      <c r="D7" s="611" t="s">
        <v>4</v>
      </c>
      <c r="E7" s="611" t="s">
        <v>5</v>
      </c>
      <c r="F7" s="611" t="s">
        <v>399</v>
      </c>
      <c r="G7" s="590" t="s">
        <v>7</v>
      </c>
      <c r="H7" s="590"/>
      <c r="I7" s="590"/>
      <c r="J7" s="590"/>
      <c r="K7" s="590"/>
      <c r="L7" s="590"/>
      <c r="M7" s="590"/>
      <c r="N7" s="612"/>
      <c r="O7" s="590"/>
      <c r="P7" s="590"/>
      <c r="Q7" s="590"/>
      <c r="R7" s="590"/>
      <c r="S7" s="590"/>
      <c r="T7" s="590"/>
      <c r="U7" s="590"/>
    </row>
    <row r="8" spans="1:23" ht="12.75" x14ac:dyDescent="0.2">
      <c r="A8" s="609"/>
      <c r="B8" s="590"/>
      <c r="C8" s="609"/>
      <c r="D8" s="611"/>
      <c r="E8" s="611"/>
      <c r="F8" s="611"/>
      <c r="G8" s="590"/>
      <c r="H8" s="590"/>
      <c r="I8" s="590"/>
      <c r="J8" s="590"/>
      <c r="K8" s="590"/>
      <c r="L8" s="590"/>
      <c r="M8" s="590"/>
      <c r="N8" s="612"/>
      <c r="O8" s="590"/>
      <c r="P8" s="590"/>
      <c r="Q8" s="590"/>
      <c r="R8" s="590"/>
      <c r="S8" s="590"/>
      <c r="T8" s="590"/>
      <c r="U8" s="590"/>
    </row>
    <row r="9" spans="1:23" ht="12.75" customHeight="1" x14ac:dyDescent="0.2">
      <c r="A9" s="609"/>
      <c r="B9" s="590"/>
      <c r="C9" s="609"/>
      <c r="D9" s="611"/>
      <c r="E9" s="611"/>
      <c r="F9" s="611"/>
      <c r="G9" s="590">
        <v>2016</v>
      </c>
      <c r="H9" s="590">
        <v>2017</v>
      </c>
      <c r="I9" s="590">
        <v>2018</v>
      </c>
      <c r="J9" s="590">
        <v>2019</v>
      </c>
      <c r="K9" s="590">
        <v>2020</v>
      </c>
      <c r="L9" s="590">
        <v>2021</v>
      </c>
      <c r="M9" s="590">
        <v>2022</v>
      </c>
      <c r="N9" s="590" t="s">
        <v>388</v>
      </c>
      <c r="O9" s="590">
        <v>2023</v>
      </c>
      <c r="P9" s="590">
        <v>2024</v>
      </c>
      <c r="Q9" s="590">
        <v>2025</v>
      </c>
      <c r="R9" s="590">
        <v>2026</v>
      </c>
      <c r="S9" s="590">
        <v>2027</v>
      </c>
      <c r="T9" s="590">
        <v>2028</v>
      </c>
      <c r="U9" s="590" t="s">
        <v>8</v>
      </c>
    </row>
    <row r="10" spans="1:23" ht="20.25" customHeight="1" x14ac:dyDescent="0.2">
      <c r="A10" s="610"/>
      <c r="B10" s="590"/>
      <c r="C10" s="610"/>
      <c r="D10" s="611"/>
      <c r="E10" s="611"/>
      <c r="F10" s="611"/>
      <c r="G10" s="590"/>
      <c r="H10" s="590"/>
      <c r="I10" s="590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</row>
    <row r="11" spans="1:23" ht="21" customHeight="1" x14ac:dyDescent="0.2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475">
        <v>6</v>
      </c>
      <c r="G11" s="475"/>
      <c r="H11" s="475"/>
      <c r="I11" s="475"/>
      <c r="J11" s="475"/>
      <c r="K11" s="475"/>
      <c r="L11" s="475"/>
      <c r="M11" s="475"/>
      <c r="N11" s="475">
        <v>7</v>
      </c>
      <c r="O11" s="475">
        <v>8</v>
      </c>
      <c r="P11" s="475">
        <v>9</v>
      </c>
      <c r="Q11" s="475">
        <v>10</v>
      </c>
      <c r="R11" s="475">
        <v>11</v>
      </c>
      <c r="S11" s="475">
        <v>12</v>
      </c>
      <c r="T11" s="475">
        <v>13</v>
      </c>
      <c r="U11" s="475">
        <v>14</v>
      </c>
    </row>
    <row r="12" spans="1:23" s="17" customFormat="1" ht="57" hidden="1" customHeight="1" x14ac:dyDescent="0.2">
      <c r="A12" s="11">
        <v>1</v>
      </c>
      <c r="B12" s="512" t="s">
        <v>9</v>
      </c>
      <c r="C12" s="12" t="s">
        <v>10</v>
      </c>
      <c r="D12" s="13" t="s">
        <v>11</v>
      </c>
      <c r="E12" s="510" t="s">
        <v>400</v>
      </c>
      <c r="F12" s="55" t="s">
        <v>13</v>
      </c>
      <c r="G12" s="15">
        <v>73702.679999999993</v>
      </c>
      <c r="H12" s="15">
        <f>94537.8+830</f>
        <v>95367.8</v>
      </c>
      <c r="I12" s="15">
        <v>114042.5</v>
      </c>
      <c r="J12" s="15">
        <v>143546.20000000001</v>
      </c>
      <c r="K12" s="15">
        <v>227890.4</v>
      </c>
      <c r="L12" s="15">
        <f>59251.7+11539-1500+103.7+3900</f>
        <v>73294.399999999994</v>
      </c>
      <c r="M12" s="15">
        <v>0</v>
      </c>
      <c r="N12" s="15">
        <f>G12+H12+I12+J12+K12+L12+M12</f>
        <v>727843.98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f>SUM(G12:T12)-N12</f>
        <v>727843.98</v>
      </c>
      <c r="V12" s="16">
        <f t="shared" ref="V12:V75" si="0">G12+H12+I12+J12+K12+L12+M12+O12+P12+Q12+R12+S12+T12-U12</f>
        <v>0</v>
      </c>
      <c r="W12" s="16">
        <f>N12+O12-'додаток сесія_2024_2028_161 (2'!O12</f>
        <v>0</v>
      </c>
    </row>
    <row r="13" spans="1:23" s="17" customFormat="1" ht="110.25" hidden="1" customHeight="1" x14ac:dyDescent="0.2">
      <c r="A13" s="18"/>
      <c r="B13" s="200"/>
      <c r="C13" s="12" t="s">
        <v>14</v>
      </c>
      <c r="D13" s="13" t="s">
        <v>15</v>
      </c>
      <c r="E13" s="511"/>
      <c r="F13" s="55" t="s">
        <v>13</v>
      </c>
      <c r="G13" s="15">
        <v>9960</v>
      </c>
      <c r="H13" s="15">
        <v>9960</v>
      </c>
      <c r="I13" s="15">
        <v>400</v>
      </c>
      <c r="J13" s="15">
        <v>2102.1999999999998</v>
      </c>
      <c r="K13" s="15">
        <v>20800</v>
      </c>
      <c r="L13" s="15">
        <v>0</v>
      </c>
      <c r="M13" s="15">
        <v>0</v>
      </c>
      <c r="N13" s="15">
        <f t="shared" ref="N13:N76" si="1">G13+H13+I13+J13+K13+L13+M13</f>
        <v>43222.2</v>
      </c>
      <c r="O13" s="15">
        <f>0+5200</f>
        <v>5200</v>
      </c>
      <c r="P13" s="15">
        <v>5600</v>
      </c>
      <c r="Q13" s="15">
        <v>7000</v>
      </c>
      <c r="R13" s="15">
        <v>8000</v>
      </c>
      <c r="S13" s="15">
        <v>9000</v>
      </c>
      <c r="T13" s="15">
        <v>10000</v>
      </c>
      <c r="U13" s="15">
        <f t="shared" ref="U13:U76" si="2">SUM(G13:T13)-N13</f>
        <v>88022.2</v>
      </c>
      <c r="V13" s="16">
        <f t="shared" si="0"/>
        <v>0</v>
      </c>
      <c r="W13" s="16">
        <f>N13+O13-'додаток сесія_2024_2028_161 (2'!O13</f>
        <v>0</v>
      </c>
    </row>
    <row r="14" spans="1:23" s="17" customFormat="1" ht="48.75" hidden="1" customHeight="1" x14ac:dyDescent="0.2">
      <c r="A14" s="18"/>
      <c r="B14" s="19"/>
      <c r="C14" s="12" t="s">
        <v>16</v>
      </c>
      <c r="D14" s="13" t="s">
        <v>15</v>
      </c>
      <c r="E14" s="511"/>
      <c r="F14" s="55" t="s">
        <v>13</v>
      </c>
      <c r="G14" s="15">
        <v>17132.7</v>
      </c>
      <c r="H14" s="20">
        <v>15000</v>
      </c>
      <c r="I14" s="20">
        <v>8150</v>
      </c>
      <c r="J14" s="20">
        <v>7800</v>
      </c>
      <c r="K14" s="20">
        <v>13000</v>
      </c>
      <c r="L14" s="20">
        <v>12500</v>
      </c>
      <c r="M14" s="20">
        <v>13750</v>
      </c>
      <c r="N14" s="15">
        <f t="shared" si="1"/>
        <v>87332.7</v>
      </c>
      <c r="O14" s="20">
        <f>15125-5200</f>
        <v>9925</v>
      </c>
      <c r="P14" s="20">
        <v>0</v>
      </c>
      <c r="Q14" s="20">
        <v>20000</v>
      </c>
      <c r="R14" s="20">
        <v>22000</v>
      </c>
      <c r="S14" s="20">
        <v>18000</v>
      </c>
      <c r="T14" s="20">
        <v>20000</v>
      </c>
      <c r="U14" s="15">
        <f t="shared" si="2"/>
        <v>177257.7</v>
      </c>
      <c r="V14" s="16">
        <f t="shared" si="0"/>
        <v>0</v>
      </c>
      <c r="W14" s="16">
        <f>N14+O14-'додаток сесія_2024_2028_161 (2'!O14</f>
        <v>0</v>
      </c>
    </row>
    <row r="15" spans="1:23" s="17" customFormat="1" ht="46.5" hidden="1" customHeight="1" x14ac:dyDescent="0.2">
      <c r="A15" s="18"/>
      <c r="B15" s="19"/>
      <c r="C15" s="12" t="s">
        <v>17</v>
      </c>
      <c r="D15" s="13" t="s">
        <v>18</v>
      </c>
      <c r="E15" s="511"/>
      <c r="F15" s="55" t="s">
        <v>13</v>
      </c>
      <c r="G15" s="15">
        <v>100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>
        <f t="shared" si="1"/>
        <v>100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5">
        <f t="shared" si="2"/>
        <v>100</v>
      </c>
      <c r="V15" s="16">
        <f t="shared" si="0"/>
        <v>0</v>
      </c>
      <c r="W15" s="16">
        <f>N15+O15-'додаток сесія_2024_2028_161 (2'!O15</f>
        <v>0</v>
      </c>
    </row>
    <row r="16" spans="1:23" s="17" customFormat="1" ht="46.5" hidden="1" customHeight="1" x14ac:dyDescent="0.2">
      <c r="A16" s="18"/>
      <c r="B16" s="19"/>
      <c r="C16" s="12" t="s">
        <v>19</v>
      </c>
      <c r="D16" s="13" t="s">
        <v>18</v>
      </c>
      <c r="E16" s="511"/>
      <c r="F16" s="55" t="s">
        <v>13</v>
      </c>
      <c r="G16" s="15">
        <v>290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>
        <f t="shared" si="1"/>
        <v>290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5">
        <f t="shared" si="2"/>
        <v>290</v>
      </c>
      <c r="V16" s="16">
        <f t="shared" si="0"/>
        <v>0</v>
      </c>
      <c r="W16" s="16">
        <f>N16+O16-'додаток сесія_2024_2028_161 (2'!O16</f>
        <v>0</v>
      </c>
    </row>
    <row r="17" spans="1:23" s="17" customFormat="1" ht="42.75" hidden="1" customHeight="1" x14ac:dyDescent="0.2">
      <c r="A17" s="18"/>
      <c r="B17" s="19"/>
      <c r="C17" s="12" t="s">
        <v>20</v>
      </c>
      <c r="D17" s="13" t="s">
        <v>18</v>
      </c>
      <c r="E17" s="511"/>
      <c r="F17" s="55" t="s">
        <v>13</v>
      </c>
      <c r="G17" s="15">
        <v>60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>
        <f t="shared" si="1"/>
        <v>60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5">
        <f t="shared" si="2"/>
        <v>60</v>
      </c>
      <c r="V17" s="16">
        <f t="shared" si="0"/>
        <v>0</v>
      </c>
      <c r="W17" s="16">
        <f>N17+O17-'додаток сесія_2024_2028_161 (2'!O17</f>
        <v>0</v>
      </c>
    </row>
    <row r="18" spans="1:23" s="17" customFormat="1" ht="44.25" hidden="1" customHeight="1" x14ac:dyDescent="0.2">
      <c r="A18" s="18"/>
      <c r="B18" s="19"/>
      <c r="C18" s="12" t="s">
        <v>21</v>
      </c>
      <c r="D18" s="13" t="s">
        <v>18</v>
      </c>
      <c r="E18" s="511"/>
      <c r="F18" s="55" t="s">
        <v>13</v>
      </c>
      <c r="G18" s="15">
        <v>100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15">
        <f t="shared" si="1"/>
        <v>100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5">
        <f t="shared" si="2"/>
        <v>100</v>
      </c>
      <c r="V18" s="16">
        <f t="shared" si="0"/>
        <v>0</v>
      </c>
      <c r="W18" s="16">
        <f>N18+O18-'додаток сесія_2024_2028_161 (2'!O18</f>
        <v>0</v>
      </c>
    </row>
    <row r="19" spans="1:23" s="17" customFormat="1" ht="42" hidden="1" customHeight="1" x14ac:dyDescent="0.2">
      <c r="A19" s="18"/>
      <c r="B19" s="19"/>
      <c r="C19" s="12" t="s">
        <v>22</v>
      </c>
      <c r="D19" s="13" t="s">
        <v>15</v>
      </c>
      <c r="E19" s="503"/>
      <c r="F19" s="55" t="s">
        <v>13</v>
      </c>
      <c r="G19" s="20">
        <v>0</v>
      </c>
      <c r="H19" s="20">
        <v>3500</v>
      </c>
      <c r="I19" s="20">
        <v>1200</v>
      </c>
      <c r="J19" s="20">
        <v>20000</v>
      </c>
      <c r="K19" s="20">
        <v>12050</v>
      </c>
      <c r="L19" s="20">
        <v>15500</v>
      </c>
      <c r="M19" s="20">
        <v>3850</v>
      </c>
      <c r="N19" s="15">
        <f t="shared" si="1"/>
        <v>56100</v>
      </c>
      <c r="O19" s="20">
        <v>4235</v>
      </c>
      <c r="P19" s="20">
        <v>0</v>
      </c>
      <c r="Q19" s="20">
        <v>3500</v>
      </c>
      <c r="R19" s="20">
        <v>4000</v>
      </c>
      <c r="S19" s="20">
        <v>4500</v>
      </c>
      <c r="T19" s="20">
        <v>5000</v>
      </c>
      <c r="U19" s="15">
        <f t="shared" si="2"/>
        <v>77335</v>
      </c>
      <c r="V19" s="16">
        <f t="shared" si="0"/>
        <v>0</v>
      </c>
      <c r="W19" s="16">
        <f>N19+O19-'додаток сесія_2024_2028_161 (2'!O19</f>
        <v>0</v>
      </c>
    </row>
    <row r="20" spans="1:23" s="17" customFormat="1" ht="46.5" hidden="1" customHeight="1" x14ac:dyDescent="0.2">
      <c r="A20" s="22"/>
      <c r="B20" s="19"/>
      <c r="C20" s="12" t="s">
        <v>23</v>
      </c>
      <c r="D20" s="23" t="s">
        <v>18</v>
      </c>
      <c r="E20" s="473"/>
      <c r="F20" s="55" t="s">
        <v>13</v>
      </c>
      <c r="G20" s="20">
        <v>0</v>
      </c>
      <c r="H20" s="20">
        <v>200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>
        <f t="shared" si="1"/>
        <v>200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5">
        <f t="shared" si="2"/>
        <v>200</v>
      </c>
      <c r="V20" s="16">
        <f t="shared" si="0"/>
        <v>0</v>
      </c>
      <c r="W20" s="16">
        <f>N20+O20-'додаток сесія_2024_2028_161 (2'!O20</f>
        <v>0</v>
      </c>
    </row>
    <row r="21" spans="1:23" s="17" customFormat="1" ht="43.5" hidden="1" customHeight="1" x14ac:dyDescent="0.2">
      <c r="A21" s="18"/>
      <c r="B21" s="18"/>
      <c r="C21" s="12" t="s">
        <v>24</v>
      </c>
      <c r="D21" s="13" t="s">
        <v>18</v>
      </c>
      <c r="E21" s="473"/>
      <c r="F21" s="55" t="s">
        <v>13</v>
      </c>
      <c r="G21" s="20">
        <v>0</v>
      </c>
      <c r="H21" s="15">
        <v>60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>
        <f t="shared" si="1"/>
        <v>60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5">
        <f t="shared" si="2"/>
        <v>60</v>
      </c>
      <c r="V21" s="16">
        <f t="shared" si="0"/>
        <v>0</v>
      </c>
      <c r="W21" s="16">
        <f>N21+O21-'додаток сесія_2024_2028_161 (2'!O21</f>
        <v>0</v>
      </c>
    </row>
    <row r="22" spans="1:23" s="17" customFormat="1" ht="54.75" hidden="1" customHeight="1" x14ac:dyDescent="0.2">
      <c r="A22" s="18"/>
      <c r="B22" s="323"/>
      <c r="C22" s="25" t="s">
        <v>25</v>
      </c>
      <c r="D22" s="23" t="s">
        <v>18</v>
      </c>
      <c r="E22" s="473"/>
      <c r="F22" s="55" t="s">
        <v>13</v>
      </c>
      <c r="G22" s="20">
        <v>0</v>
      </c>
      <c r="H22" s="15">
        <v>150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5">
        <f t="shared" si="1"/>
        <v>150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5">
        <f t="shared" si="2"/>
        <v>150</v>
      </c>
      <c r="V22" s="16">
        <f t="shared" si="0"/>
        <v>0</v>
      </c>
      <c r="W22" s="16">
        <f>N22+O22-'додаток сесія_2024_2028_161 (2'!O22</f>
        <v>0</v>
      </c>
    </row>
    <row r="23" spans="1:23" s="17" customFormat="1" ht="44.25" hidden="1" customHeight="1" x14ac:dyDescent="0.2">
      <c r="A23" s="18"/>
      <c r="B23" s="18"/>
      <c r="C23" s="27" t="s">
        <v>26</v>
      </c>
      <c r="D23" s="28" t="s">
        <v>18</v>
      </c>
      <c r="E23" s="473"/>
      <c r="F23" s="55" t="s">
        <v>13</v>
      </c>
      <c r="G23" s="20">
        <v>0</v>
      </c>
      <c r="H23" s="15">
        <v>150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15">
        <f t="shared" si="1"/>
        <v>150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15">
        <f t="shared" si="2"/>
        <v>150</v>
      </c>
      <c r="V23" s="16">
        <f t="shared" si="0"/>
        <v>0</v>
      </c>
      <c r="W23" s="16">
        <f>N23+O23-'додаток сесія_2024_2028_161 (2'!O23</f>
        <v>0</v>
      </c>
    </row>
    <row r="24" spans="1:23" s="17" customFormat="1" ht="47.25" hidden="1" customHeight="1" x14ac:dyDescent="0.2">
      <c r="A24" s="18"/>
      <c r="B24" s="30"/>
      <c r="C24" s="12" t="s">
        <v>27</v>
      </c>
      <c r="D24" s="13" t="s">
        <v>15</v>
      </c>
      <c r="E24" s="473"/>
      <c r="F24" s="55" t="s">
        <v>13</v>
      </c>
      <c r="G24" s="20">
        <v>0</v>
      </c>
      <c r="H24" s="15">
        <v>5500</v>
      </c>
      <c r="I24" s="15">
        <v>42900</v>
      </c>
      <c r="J24" s="15">
        <v>11871.2</v>
      </c>
      <c r="K24" s="15">
        <v>11940.3</v>
      </c>
      <c r="L24" s="15">
        <v>6000</v>
      </c>
      <c r="M24" s="15">
        <v>0</v>
      </c>
      <c r="N24" s="15">
        <f t="shared" si="1"/>
        <v>78211.5</v>
      </c>
      <c r="O24" s="15">
        <v>0</v>
      </c>
      <c r="P24" s="15">
        <v>0</v>
      </c>
      <c r="Q24" s="15">
        <v>5000</v>
      </c>
      <c r="R24" s="15">
        <v>5000</v>
      </c>
      <c r="S24" s="15">
        <v>0</v>
      </c>
      <c r="T24" s="15">
        <v>0</v>
      </c>
      <c r="U24" s="15">
        <f t="shared" si="2"/>
        <v>88211.5</v>
      </c>
      <c r="V24" s="16">
        <f t="shared" si="0"/>
        <v>0</v>
      </c>
      <c r="W24" s="16">
        <f>N24+O24-'додаток сесія_2024_2028_161 (2'!O24</f>
        <v>0</v>
      </c>
    </row>
    <row r="25" spans="1:23" s="17" customFormat="1" ht="49.5" hidden="1" customHeight="1" x14ac:dyDescent="0.2">
      <c r="A25" s="325"/>
      <c r="B25" s="32"/>
      <c r="C25" s="12" t="s">
        <v>28</v>
      </c>
      <c r="D25" s="13" t="s">
        <v>29</v>
      </c>
      <c r="E25" s="474"/>
      <c r="F25" s="55" t="s">
        <v>13</v>
      </c>
      <c r="G25" s="15">
        <v>2000</v>
      </c>
      <c r="H25" s="15">
        <v>2000</v>
      </c>
      <c r="I25" s="15">
        <v>3250</v>
      </c>
      <c r="J25" s="15">
        <v>4600</v>
      </c>
      <c r="K25" s="15">
        <v>4000</v>
      </c>
      <c r="L25" s="15">
        <f>0+397.7</f>
        <v>397.7</v>
      </c>
      <c r="M25" s="15">
        <v>0</v>
      </c>
      <c r="N25" s="15">
        <f t="shared" si="1"/>
        <v>16247.7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f t="shared" si="2"/>
        <v>16247.7</v>
      </c>
      <c r="V25" s="16">
        <f t="shared" si="0"/>
        <v>0</v>
      </c>
      <c r="W25" s="16">
        <f>N25+O25-'додаток сесія_2024_2028_161 (2'!O25</f>
        <v>0</v>
      </c>
    </row>
    <row r="26" spans="1:23" s="17" customFormat="1" ht="47.25" hidden="1" customHeight="1" x14ac:dyDescent="0.2">
      <c r="A26" s="18"/>
      <c r="B26" s="30"/>
      <c r="C26" s="12" t="s">
        <v>30</v>
      </c>
      <c r="D26" s="13" t="s">
        <v>29</v>
      </c>
      <c r="E26" s="473"/>
      <c r="F26" s="55" t="s">
        <v>13</v>
      </c>
      <c r="G26" s="20">
        <v>100</v>
      </c>
      <c r="H26" s="15">
        <v>2000</v>
      </c>
      <c r="I26" s="15">
        <v>3100</v>
      </c>
      <c r="J26" s="15">
        <v>12000</v>
      </c>
      <c r="K26" s="15">
        <v>14573.5</v>
      </c>
      <c r="L26" s="15">
        <f>1017.3</f>
        <v>1017.3</v>
      </c>
      <c r="M26" s="15">
        <v>0</v>
      </c>
      <c r="N26" s="15">
        <f t="shared" si="1"/>
        <v>32790.800000000003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f t="shared" si="2"/>
        <v>32790.800000000003</v>
      </c>
      <c r="V26" s="16">
        <f t="shared" si="0"/>
        <v>0</v>
      </c>
      <c r="W26" s="16">
        <f>N26+O26-'додаток сесія_2024_2028_161 (2'!O26</f>
        <v>0</v>
      </c>
    </row>
    <row r="27" spans="1:23" s="17" customFormat="1" ht="45" hidden="1" customHeight="1" x14ac:dyDescent="0.2">
      <c r="A27" s="18"/>
      <c r="B27" s="30"/>
      <c r="C27" s="12" t="s">
        <v>31</v>
      </c>
      <c r="D27" s="13" t="s">
        <v>29</v>
      </c>
      <c r="E27" s="473"/>
      <c r="F27" s="55" t="s">
        <v>13</v>
      </c>
      <c r="G27" s="15">
        <v>1500</v>
      </c>
      <c r="H27" s="15">
        <v>1680</v>
      </c>
      <c r="I27" s="15">
        <v>1800</v>
      </c>
      <c r="J27" s="15">
        <v>3450</v>
      </c>
      <c r="K27" s="15">
        <v>3000</v>
      </c>
      <c r="L27" s="15">
        <f>0+1500+815.9</f>
        <v>2315.9</v>
      </c>
      <c r="M27" s="15">
        <v>0</v>
      </c>
      <c r="N27" s="15">
        <f t="shared" si="1"/>
        <v>13745.9</v>
      </c>
      <c r="O27" s="15">
        <f>2850.5</f>
        <v>2850.5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f t="shared" si="2"/>
        <v>16596.400000000001</v>
      </c>
      <c r="V27" s="16">
        <f t="shared" si="0"/>
        <v>0</v>
      </c>
      <c r="W27" s="16">
        <f>N27+O27-'додаток сесія_2024_2028_161 (2'!O27</f>
        <v>0</v>
      </c>
    </row>
    <row r="28" spans="1:23" s="17" customFormat="1" ht="66.75" hidden="1" customHeight="1" x14ac:dyDescent="0.2">
      <c r="A28" s="18"/>
      <c r="B28" s="30"/>
      <c r="C28" s="12" t="s">
        <v>401</v>
      </c>
      <c r="D28" s="13" t="s">
        <v>15</v>
      </c>
      <c r="E28" s="473"/>
      <c r="F28" s="55" t="s">
        <v>13</v>
      </c>
      <c r="G28" s="20">
        <v>0</v>
      </c>
      <c r="H28" s="15">
        <f>5650</f>
        <v>5650</v>
      </c>
      <c r="I28" s="15">
        <v>6800</v>
      </c>
      <c r="J28" s="15">
        <v>8000</v>
      </c>
      <c r="K28" s="15">
        <v>9500</v>
      </c>
      <c r="L28" s="15">
        <v>3500</v>
      </c>
      <c r="M28" s="15">
        <v>3850</v>
      </c>
      <c r="N28" s="15">
        <f t="shared" si="1"/>
        <v>37300</v>
      </c>
      <c r="O28" s="15">
        <f>4235-4235</f>
        <v>0</v>
      </c>
      <c r="P28" s="15">
        <v>0</v>
      </c>
      <c r="Q28" s="15">
        <v>7300</v>
      </c>
      <c r="R28" s="15">
        <v>8000</v>
      </c>
      <c r="S28" s="15">
        <v>8800</v>
      </c>
      <c r="T28" s="15">
        <v>10000</v>
      </c>
      <c r="U28" s="15">
        <f t="shared" si="2"/>
        <v>71400</v>
      </c>
      <c r="V28" s="16">
        <f t="shared" si="0"/>
        <v>0</v>
      </c>
      <c r="W28" s="16">
        <f>N28+O28-'додаток сесія_2024_2028_161 (2'!O28</f>
        <v>0</v>
      </c>
    </row>
    <row r="29" spans="1:23" s="17" customFormat="1" ht="72" hidden="1" customHeight="1" x14ac:dyDescent="0.2">
      <c r="A29" s="22"/>
      <c r="B29" s="30"/>
      <c r="C29" s="12" t="s">
        <v>389</v>
      </c>
      <c r="D29" s="23" t="s">
        <v>29</v>
      </c>
      <c r="E29" s="473"/>
      <c r="F29" s="55" t="s">
        <v>13</v>
      </c>
      <c r="G29" s="20">
        <v>0</v>
      </c>
      <c r="H29" s="15">
        <v>9116.2999999999993</v>
      </c>
      <c r="I29" s="20">
        <v>0</v>
      </c>
      <c r="J29" s="20">
        <v>200</v>
      </c>
      <c r="K29" s="20">
        <v>14000</v>
      </c>
      <c r="L29" s="20">
        <v>9713.6</v>
      </c>
      <c r="M29" s="20">
        <v>0</v>
      </c>
      <c r="N29" s="15">
        <f t="shared" si="1"/>
        <v>33029.9</v>
      </c>
      <c r="O29" s="20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f t="shared" si="2"/>
        <v>33029.9</v>
      </c>
      <c r="V29" s="16">
        <f t="shared" si="0"/>
        <v>0</v>
      </c>
      <c r="W29" s="16">
        <f>N29+O29-'додаток сесія_2024_2028_161 (2'!O29</f>
        <v>0</v>
      </c>
    </row>
    <row r="30" spans="1:23" s="17" customFormat="1" ht="54.75" hidden="1" customHeight="1" x14ac:dyDescent="0.2">
      <c r="A30" s="22"/>
      <c r="B30" s="31"/>
      <c r="C30" s="12" t="s">
        <v>394</v>
      </c>
      <c r="D30" s="13" t="s">
        <v>15</v>
      </c>
      <c r="E30" s="473"/>
      <c r="F30" s="55" t="s">
        <v>13</v>
      </c>
      <c r="G30" s="20">
        <v>0</v>
      </c>
      <c r="H30" s="20">
        <v>0</v>
      </c>
      <c r="I30" s="15">
        <v>10000</v>
      </c>
      <c r="J30" s="20">
        <v>0</v>
      </c>
      <c r="K30" s="20">
        <v>0</v>
      </c>
      <c r="L30" s="20">
        <v>16000</v>
      </c>
      <c r="M30" s="20">
        <v>0</v>
      </c>
      <c r="N30" s="15">
        <f t="shared" si="1"/>
        <v>26000</v>
      </c>
      <c r="O30" s="20">
        <v>0</v>
      </c>
      <c r="P30" s="20">
        <v>0</v>
      </c>
      <c r="Q30" s="20">
        <v>40000</v>
      </c>
      <c r="R30" s="20">
        <v>0</v>
      </c>
      <c r="S30" s="20">
        <v>0</v>
      </c>
      <c r="T30" s="20">
        <v>0</v>
      </c>
      <c r="U30" s="15">
        <f t="shared" si="2"/>
        <v>66000</v>
      </c>
      <c r="V30" s="16">
        <f t="shared" si="0"/>
        <v>0</v>
      </c>
      <c r="W30" s="16">
        <f>N30+O30-'додаток сесія_2024_2028_161 (2'!O30</f>
        <v>0</v>
      </c>
    </row>
    <row r="31" spans="1:23" s="17" customFormat="1" ht="71.25" hidden="1" customHeight="1" x14ac:dyDescent="0.2">
      <c r="A31" s="22"/>
      <c r="B31" s="31"/>
      <c r="C31" s="12" t="s">
        <v>35</v>
      </c>
      <c r="D31" s="13" t="s">
        <v>29</v>
      </c>
      <c r="E31" s="473"/>
      <c r="F31" s="55" t="s">
        <v>13</v>
      </c>
      <c r="G31" s="20">
        <v>0</v>
      </c>
      <c r="H31" s="20">
        <v>0</v>
      </c>
      <c r="I31" s="20">
        <v>0</v>
      </c>
      <c r="J31" s="20">
        <v>2425</v>
      </c>
      <c r="K31" s="20">
        <v>1275</v>
      </c>
      <c r="L31" s="20">
        <v>286.39999999999998</v>
      </c>
      <c r="M31" s="20">
        <v>0</v>
      </c>
      <c r="N31" s="15">
        <f t="shared" si="1"/>
        <v>3986.4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5">
        <f t="shared" si="2"/>
        <v>3986.4</v>
      </c>
      <c r="V31" s="16">
        <f t="shared" si="0"/>
        <v>0</v>
      </c>
      <c r="W31" s="16">
        <f>N31+O31-'додаток сесія_2024_2028_161 (2'!O31</f>
        <v>0</v>
      </c>
    </row>
    <row r="32" spans="1:23" s="17" customFormat="1" ht="60.75" hidden="1" customHeight="1" x14ac:dyDescent="0.2">
      <c r="A32" s="18"/>
      <c r="B32" s="30"/>
      <c r="C32" s="25" t="s">
        <v>395</v>
      </c>
      <c r="D32" s="23" t="s">
        <v>15</v>
      </c>
      <c r="E32" s="473"/>
      <c r="F32" s="55" t="s">
        <v>13</v>
      </c>
      <c r="G32" s="20">
        <v>0</v>
      </c>
      <c r="H32" s="20">
        <v>0</v>
      </c>
      <c r="I32" s="15">
        <v>10000</v>
      </c>
      <c r="J32" s="20">
        <v>0</v>
      </c>
      <c r="K32" s="20">
        <v>0</v>
      </c>
      <c r="L32" s="20">
        <v>0</v>
      </c>
      <c r="M32" s="20">
        <f>16000-16000</f>
        <v>0</v>
      </c>
      <c r="N32" s="15">
        <f t="shared" si="1"/>
        <v>10000</v>
      </c>
      <c r="O32" s="20">
        <v>0</v>
      </c>
      <c r="P32" s="20">
        <v>0</v>
      </c>
      <c r="Q32" s="20">
        <v>0</v>
      </c>
      <c r="R32" s="20">
        <v>50000</v>
      </c>
      <c r="S32" s="20">
        <v>0</v>
      </c>
      <c r="T32" s="20">
        <v>0</v>
      </c>
      <c r="U32" s="15">
        <f t="shared" si="2"/>
        <v>60000</v>
      </c>
      <c r="V32" s="16">
        <f t="shared" si="0"/>
        <v>0</v>
      </c>
      <c r="W32" s="16">
        <f>N32+O32-'додаток сесія_2024_2028_161 (2'!O32</f>
        <v>0</v>
      </c>
    </row>
    <row r="33" spans="1:23" s="17" customFormat="1" ht="68.25" hidden="1" customHeight="1" x14ac:dyDescent="0.2">
      <c r="A33" s="18"/>
      <c r="B33" s="30"/>
      <c r="C33" s="33" t="s">
        <v>37</v>
      </c>
      <c r="D33" s="28" t="s">
        <v>15</v>
      </c>
      <c r="E33" s="473"/>
      <c r="F33" s="55" t="s">
        <v>13</v>
      </c>
      <c r="G33" s="20">
        <v>0</v>
      </c>
      <c r="H33" s="20">
        <v>0</v>
      </c>
      <c r="I33" s="20">
        <v>0</v>
      </c>
      <c r="J33" s="15">
        <v>8000</v>
      </c>
      <c r="K33" s="20">
        <v>0</v>
      </c>
      <c r="L33" s="20">
        <v>0</v>
      </c>
      <c r="M33" s="20">
        <v>4000</v>
      </c>
      <c r="N33" s="15">
        <f t="shared" si="1"/>
        <v>12000</v>
      </c>
      <c r="O33" s="20">
        <f>18000-18000</f>
        <v>0</v>
      </c>
      <c r="P33" s="20">
        <v>0</v>
      </c>
      <c r="Q33" s="20">
        <v>0</v>
      </c>
      <c r="R33" s="20">
        <v>0</v>
      </c>
      <c r="S33" s="20">
        <v>0</v>
      </c>
      <c r="T33" s="20">
        <v>80000</v>
      </c>
      <c r="U33" s="15">
        <f t="shared" si="2"/>
        <v>92000</v>
      </c>
      <c r="V33" s="16">
        <f t="shared" si="0"/>
        <v>0</v>
      </c>
      <c r="W33" s="16">
        <f>N33+O33-'додаток сесія_2024_2028_161 (2'!O33</f>
        <v>0</v>
      </c>
    </row>
    <row r="34" spans="1:23" s="17" customFormat="1" ht="83.25" hidden="1" customHeight="1" x14ac:dyDescent="0.2">
      <c r="A34" s="22"/>
      <c r="B34" s="30"/>
      <c r="C34" s="34" t="s">
        <v>38</v>
      </c>
      <c r="D34" s="23" t="s">
        <v>15</v>
      </c>
      <c r="E34" s="473"/>
      <c r="F34" s="55" t="s">
        <v>13</v>
      </c>
      <c r="G34" s="20">
        <v>0</v>
      </c>
      <c r="H34" s="20">
        <v>0</v>
      </c>
      <c r="I34" s="20">
        <v>0</v>
      </c>
      <c r="J34" s="20">
        <v>0</v>
      </c>
      <c r="K34" s="15">
        <v>10000</v>
      </c>
      <c r="L34" s="15">
        <v>0</v>
      </c>
      <c r="M34" s="15">
        <v>0</v>
      </c>
      <c r="N34" s="15">
        <f t="shared" si="1"/>
        <v>10000</v>
      </c>
      <c r="O34" s="15">
        <v>16000</v>
      </c>
      <c r="P34" s="15">
        <v>0</v>
      </c>
      <c r="Q34" s="15">
        <v>0</v>
      </c>
      <c r="R34" s="15">
        <v>0</v>
      </c>
      <c r="S34" s="15">
        <v>60000</v>
      </c>
      <c r="T34" s="15">
        <v>0</v>
      </c>
      <c r="U34" s="15">
        <f t="shared" si="2"/>
        <v>86000</v>
      </c>
      <c r="V34" s="16">
        <f t="shared" si="0"/>
        <v>0</v>
      </c>
      <c r="W34" s="16">
        <f>N34+O34-'додаток сесія_2024_2028_161 (2'!O34</f>
        <v>0</v>
      </c>
    </row>
    <row r="35" spans="1:23" s="17" customFormat="1" ht="69.75" hidden="1" customHeight="1" x14ac:dyDescent="0.2">
      <c r="A35" s="574"/>
      <c r="B35" s="36"/>
      <c r="C35" s="37" t="s">
        <v>39</v>
      </c>
      <c r="D35" s="38" t="s">
        <v>15</v>
      </c>
      <c r="E35" s="18"/>
      <c r="F35" s="55" t="s">
        <v>13</v>
      </c>
      <c r="G35" s="20">
        <v>0</v>
      </c>
      <c r="H35" s="15">
        <f>5000-830</f>
        <v>4170</v>
      </c>
      <c r="I35" s="15">
        <v>2000</v>
      </c>
      <c r="J35" s="15">
        <v>2500</v>
      </c>
      <c r="K35" s="15">
        <v>0</v>
      </c>
      <c r="L35" s="15">
        <v>3500</v>
      </c>
      <c r="M35" s="15">
        <v>2000</v>
      </c>
      <c r="N35" s="15">
        <f t="shared" si="1"/>
        <v>14170</v>
      </c>
      <c r="O35" s="15">
        <f>2000-2000</f>
        <v>0</v>
      </c>
      <c r="P35" s="15">
        <v>0</v>
      </c>
      <c r="Q35" s="15">
        <v>0</v>
      </c>
      <c r="R35" s="15">
        <v>5000</v>
      </c>
      <c r="S35" s="15">
        <v>5000</v>
      </c>
      <c r="T35" s="15">
        <v>5000</v>
      </c>
      <c r="U35" s="15">
        <f t="shared" si="2"/>
        <v>29170</v>
      </c>
      <c r="V35" s="16">
        <f t="shared" si="0"/>
        <v>0</v>
      </c>
      <c r="W35" s="16">
        <f>N35+O35-'додаток сесія_2024_2028_161 (2'!O35</f>
        <v>0</v>
      </c>
    </row>
    <row r="36" spans="1:23" s="17" customFormat="1" ht="41.25" hidden="1" customHeight="1" x14ac:dyDescent="0.2">
      <c r="A36" s="575"/>
      <c r="B36" s="36"/>
      <c r="C36" s="39" t="s">
        <v>40</v>
      </c>
      <c r="D36" s="40" t="s">
        <v>29</v>
      </c>
      <c r="E36" s="18"/>
      <c r="F36" s="55" t="s">
        <v>13</v>
      </c>
      <c r="G36" s="15">
        <v>0</v>
      </c>
      <c r="H36" s="20">
        <v>60000</v>
      </c>
      <c r="I36" s="20">
        <v>0</v>
      </c>
      <c r="J36" s="20">
        <v>0</v>
      </c>
      <c r="K36" s="20">
        <v>0</v>
      </c>
      <c r="L36" s="20">
        <f>60000-1000-4500</f>
        <v>54500</v>
      </c>
      <c r="M36" s="20">
        <f>66000</f>
        <v>66000</v>
      </c>
      <c r="N36" s="15">
        <f t="shared" si="1"/>
        <v>180500</v>
      </c>
      <c r="O36" s="20">
        <f>72600-72600</f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15">
        <f t="shared" si="2"/>
        <v>180500</v>
      </c>
      <c r="V36" s="16">
        <f t="shared" si="0"/>
        <v>0</v>
      </c>
      <c r="W36" s="16">
        <f>N36+O36-'додаток сесія_2024_2028_161 (2'!O36</f>
        <v>0</v>
      </c>
    </row>
    <row r="37" spans="1:23" s="17" customFormat="1" ht="40.5" hidden="1" x14ac:dyDescent="0.2">
      <c r="A37" s="575"/>
      <c r="B37" s="36"/>
      <c r="C37" s="42" t="s">
        <v>41</v>
      </c>
      <c r="D37" s="14" t="s">
        <v>18</v>
      </c>
      <c r="E37" s="18"/>
      <c r="F37" s="55" t="s">
        <v>13</v>
      </c>
      <c r="G37" s="15">
        <f>30893.1-20000</f>
        <v>10893.099999999999</v>
      </c>
      <c r="H37" s="20">
        <v>0</v>
      </c>
      <c r="I37" s="20">
        <v>33783</v>
      </c>
      <c r="J37" s="20">
        <v>44021.8</v>
      </c>
      <c r="K37" s="20">
        <v>61825.56</v>
      </c>
      <c r="L37" s="20">
        <v>0</v>
      </c>
      <c r="M37" s="20">
        <v>0</v>
      </c>
      <c r="N37" s="15">
        <f t="shared" si="1"/>
        <v>150523.46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15">
        <f t="shared" si="2"/>
        <v>150523.46</v>
      </c>
      <c r="V37" s="16">
        <f t="shared" si="0"/>
        <v>0</v>
      </c>
      <c r="W37" s="16">
        <f>N37+O37-'додаток сесія_2024_2028_161 (2'!O37</f>
        <v>0</v>
      </c>
    </row>
    <row r="38" spans="1:23" s="17" customFormat="1" ht="57" hidden="1" customHeight="1" x14ac:dyDescent="0.2">
      <c r="A38" s="575"/>
      <c r="B38" s="36"/>
      <c r="C38" s="42" t="s">
        <v>42</v>
      </c>
      <c r="D38" s="14" t="s">
        <v>18</v>
      </c>
      <c r="E38" s="18"/>
      <c r="F38" s="55" t="s">
        <v>13</v>
      </c>
      <c r="G38" s="15">
        <v>0</v>
      </c>
      <c r="H38" s="20">
        <v>0</v>
      </c>
      <c r="I38" s="20">
        <v>3000</v>
      </c>
      <c r="J38" s="20">
        <v>2597.8000000000002</v>
      </c>
      <c r="K38" s="20">
        <v>1300</v>
      </c>
      <c r="L38" s="20">
        <v>0</v>
      </c>
      <c r="M38" s="20">
        <v>0</v>
      </c>
      <c r="N38" s="15">
        <f t="shared" si="1"/>
        <v>6897.8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5">
        <f t="shared" si="2"/>
        <v>6897.8</v>
      </c>
      <c r="V38" s="16">
        <f t="shared" si="0"/>
        <v>0</v>
      </c>
      <c r="W38" s="16">
        <f>N38+O38-'додаток сесія_2024_2028_161 (2'!O38</f>
        <v>0</v>
      </c>
    </row>
    <row r="39" spans="1:23" s="17" customFormat="1" ht="38.25" hidden="1" customHeight="1" x14ac:dyDescent="0.2">
      <c r="A39" s="22"/>
      <c r="B39" s="36"/>
      <c r="C39" s="37" t="s">
        <v>43</v>
      </c>
      <c r="D39" s="43" t="s">
        <v>44</v>
      </c>
      <c r="E39" s="22"/>
      <c r="F39" s="49" t="s">
        <v>13</v>
      </c>
      <c r="G39" s="52">
        <f t="shared" ref="G39:T39" si="3">SUM(G41:G54)</f>
        <v>0</v>
      </c>
      <c r="H39" s="52">
        <f t="shared" si="3"/>
        <v>0</v>
      </c>
      <c r="I39" s="52">
        <f t="shared" si="3"/>
        <v>0</v>
      </c>
      <c r="J39" s="52">
        <f t="shared" si="3"/>
        <v>2300</v>
      </c>
      <c r="K39" s="52">
        <f t="shared" si="3"/>
        <v>0</v>
      </c>
      <c r="L39" s="52">
        <f t="shared" si="3"/>
        <v>15850</v>
      </c>
      <c r="M39" s="52">
        <f t="shared" si="3"/>
        <v>9150</v>
      </c>
      <c r="N39" s="52">
        <f t="shared" si="1"/>
        <v>27300</v>
      </c>
      <c r="O39" s="52">
        <f t="shared" si="3"/>
        <v>19500</v>
      </c>
      <c r="P39" s="52">
        <f t="shared" si="3"/>
        <v>26600</v>
      </c>
      <c r="Q39" s="52">
        <f t="shared" si="3"/>
        <v>19250</v>
      </c>
      <c r="R39" s="52">
        <f t="shared" si="3"/>
        <v>8900</v>
      </c>
      <c r="S39" s="52">
        <f t="shared" si="3"/>
        <v>5300</v>
      </c>
      <c r="T39" s="52">
        <f t="shared" si="3"/>
        <v>5500</v>
      </c>
      <c r="U39" s="52">
        <f t="shared" si="2"/>
        <v>112350</v>
      </c>
      <c r="V39" s="16">
        <f t="shared" si="0"/>
        <v>0</v>
      </c>
      <c r="W39" s="16">
        <f>N39+O39-'додаток сесія_2024_2028_161 (2'!O39</f>
        <v>0</v>
      </c>
    </row>
    <row r="40" spans="1:23" s="17" customFormat="1" ht="15.75" hidden="1" customHeight="1" x14ac:dyDescent="0.2">
      <c r="A40" s="22"/>
      <c r="B40" s="36"/>
      <c r="C40" s="37" t="s">
        <v>45</v>
      </c>
      <c r="D40" s="22"/>
      <c r="E40" s="22"/>
      <c r="F40" s="22"/>
      <c r="G40" s="15"/>
      <c r="H40" s="20"/>
      <c r="I40" s="20"/>
      <c r="J40" s="20"/>
      <c r="K40" s="20"/>
      <c r="L40" s="20"/>
      <c r="M40" s="20"/>
      <c r="N40" s="15"/>
      <c r="O40" s="20"/>
      <c r="P40" s="20"/>
      <c r="Q40" s="20"/>
      <c r="R40" s="20"/>
      <c r="S40" s="20"/>
      <c r="T40" s="20"/>
      <c r="U40" s="15"/>
      <c r="V40" s="16">
        <f t="shared" si="0"/>
        <v>0</v>
      </c>
      <c r="W40" s="16">
        <f>N40+O40-'додаток сесія_2024_2028_161 (2'!O40</f>
        <v>0</v>
      </c>
    </row>
    <row r="41" spans="1:23" s="17" customFormat="1" ht="35.25" hidden="1" customHeight="1" x14ac:dyDescent="0.2">
      <c r="A41" s="22"/>
      <c r="B41" s="36"/>
      <c r="C41" s="37" t="s">
        <v>46</v>
      </c>
      <c r="D41" s="22"/>
      <c r="E41" s="22"/>
      <c r="F41" s="22"/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5">
        <v>3500</v>
      </c>
      <c r="M41" s="45">
        <f>900-350-350</f>
        <v>200</v>
      </c>
      <c r="N41" s="15">
        <f t="shared" si="1"/>
        <v>3700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15">
        <f t="shared" si="2"/>
        <v>3700</v>
      </c>
      <c r="V41" s="16">
        <f t="shared" si="0"/>
        <v>0</v>
      </c>
      <c r="W41" s="16">
        <f>N41+O41-'додаток сесія_2024_2028_161 (2'!O41</f>
        <v>0</v>
      </c>
    </row>
    <row r="42" spans="1:23" s="17" customFormat="1" ht="24.75" hidden="1" customHeight="1" x14ac:dyDescent="0.2">
      <c r="A42" s="47"/>
      <c r="B42" s="469"/>
      <c r="C42" s="37" t="s">
        <v>47</v>
      </c>
      <c r="D42" s="47"/>
      <c r="E42" s="470"/>
      <c r="F42" s="47"/>
      <c r="G42" s="44">
        <v>0</v>
      </c>
      <c r="H42" s="44">
        <v>0</v>
      </c>
      <c r="I42" s="44">
        <v>0</v>
      </c>
      <c r="J42" s="44">
        <v>2300</v>
      </c>
      <c r="K42" s="44">
        <v>0</v>
      </c>
      <c r="L42" s="45">
        <f>5100-450</f>
        <v>4650</v>
      </c>
      <c r="M42" s="45">
        <v>2800</v>
      </c>
      <c r="N42" s="15">
        <f t="shared" si="1"/>
        <v>9750</v>
      </c>
      <c r="O42" s="45">
        <v>0</v>
      </c>
      <c r="P42" s="45">
        <v>5500</v>
      </c>
      <c r="Q42" s="45">
        <v>5200</v>
      </c>
      <c r="R42" s="45">
        <v>0</v>
      </c>
      <c r="S42" s="45">
        <v>0</v>
      </c>
      <c r="T42" s="45">
        <v>5500</v>
      </c>
      <c r="U42" s="15">
        <f t="shared" si="2"/>
        <v>25950</v>
      </c>
      <c r="V42" s="16">
        <f t="shared" si="0"/>
        <v>0</v>
      </c>
      <c r="W42" s="16">
        <f>N42+O42-'додаток сесія_2024_2028_161 (2'!O42</f>
        <v>0</v>
      </c>
    </row>
    <row r="43" spans="1:23" s="17" customFormat="1" ht="26.25" hidden="1" customHeight="1" x14ac:dyDescent="0.2">
      <c r="A43" s="22"/>
      <c r="B43" s="36"/>
      <c r="C43" s="37" t="s">
        <v>48</v>
      </c>
      <c r="D43" s="22"/>
      <c r="E43" s="22"/>
      <c r="F43" s="493"/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5">
        <f>4000+375</f>
        <v>4375</v>
      </c>
      <c r="M43" s="45">
        <v>4300</v>
      </c>
      <c r="N43" s="15">
        <f t="shared" si="1"/>
        <v>8675</v>
      </c>
      <c r="O43" s="45">
        <f>4500+1600</f>
        <v>6100</v>
      </c>
      <c r="P43" s="45">
        <f>7000+500</f>
        <v>7500</v>
      </c>
      <c r="Q43" s="45">
        <v>6500</v>
      </c>
      <c r="R43" s="45">
        <v>0</v>
      </c>
      <c r="S43" s="45">
        <v>0</v>
      </c>
      <c r="T43" s="45">
        <v>0</v>
      </c>
      <c r="U43" s="15">
        <f t="shared" si="2"/>
        <v>28775</v>
      </c>
      <c r="V43" s="16">
        <f t="shared" si="0"/>
        <v>0</v>
      </c>
      <c r="W43" s="16">
        <f>N43+O43-'додаток сесія_2024_2028_161 (2'!O43</f>
        <v>0</v>
      </c>
    </row>
    <row r="44" spans="1:23" s="17" customFormat="1" ht="18" hidden="1" customHeight="1" x14ac:dyDescent="0.2">
      <c r="A44" s="22"/>
      <c r="B44" s="36"/>
      <c r="C44" s="37" t="s">
        <v>49</v>
      </c>
      <c r="D44" s="22"/>
      <c r="E44" s="22"/>
      <c r="F44" s="22"/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5">
        <v>0</v>
      </c>
      <c r="M44" s="45">
        <f>850+350</f>
        <v>1200</v>
      </c>
      <c r="N44" s="15">
        <f t="shared" si="1"/>
        <v>1200</v>
      </c>
      <c r="O44" s="45">
        <f>735-735</f>
        <v>0</v>
      </c>
      <c r="P44" s="45">
        <v>0</v>
      </c>
      <c r="Q44" s="45">
        <v>1200</v>
      </c>
      <c r="R44" s="45">
        <v>1300</v>
      </c>
      <c r="S44" s="45">
        <v>0</v>
      </c>
      <c r="T44" s="45">
        <v>0</v>
      </c>
      <c r="U44" s="15">
        <f t="shared" si="2"/>
        <v>3700</v>
      </c>
      <c r="V44" s="16">
        <f t="shared" si="0"/>
        <v>0</v>
      </c>
      <c r="W44" s="16">
        <f>N44+O44-'додаток сесія_2024_2028_161 (2'!O44</f>
        <v>0</v>
      </c>
    </row>
    <row r="45" spans="1:23" s="17" customFormat="1" ht="21.75" hidden="1" customHeight="1" x14ac:dyDescent="0.2">
      <c r="A45" s="22"/>
      <c r="B45" s="36"/>
      <c r="C45" s="37" t="s">
        <v>50</v>
      </c>
      <c r="D45" s="22"/>
      <c r="E45" s="22"/>
      <c r="F45" s="22"/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5">
        <v>0</v>
      </c>
      <c r="M45" s="45">
        <f>300+350</f>
        <v>650</v>
      </c>
      <c r="N45" s="15">
        <f t="shared" si="1"/>
        <v>650</v>
      </c>
      <c r="O45" s="45">
        <v>0</v>
      </c>
      <c r="P45" s="45">
        <v>0</v>
      </c>
      <c r="Q45" s="45">
        <v>250</v>
      </c>
      <c r="R45" s="45">
        <v>300</v>
      </c>
      <c r="S45" s="45">
        <v>0</v>
      </c>
      <c r="T45" s="45">
        <v>0</v>
      </c>
      <c r="U45" s="15">
        <f t="shared" si="2"/>
        <v>1200</v>
      </c>
      <c r="V45" s="16">
        <f t="shared" si="0"/>
        <v>0</v>
      </c>
      <c r="W45" s="16">
        <f>N45+O45-'додаток сесія_2024_2028_161 (2'!O45</f>
        <v>0</v>
      </c>
    </row>
    <row r="46" spans="1:23" s="17" customFormat="1" ht="23.25" hidden="1" customHeight="1" x14ac:dyDescent="0.2">
      <c r="A46" s="22"/>
      <c r="B46" s="36"/>
      <c r="C46" s="37" t="s">
        <v>51</v>
      </c>
      <c r="D46" s="22"/>
      <c r="E46" s="22"/>
      <c r="F46" s="22"/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5">
        <v>2875</v>
      </c>
      <c r="M46" s="45">
        <v>0</v>
      </c>
      <c r="N46" s="15">
        <f t="shared" si="1"/>
        <v>2875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15">
        <f t="shared" si="2"/>
        <v>2875</v>
      </c>
      <c r="V46" s="16">
        <f t="shared" si="0"/>
        <v>0</v>
      </c>
      <c r="W46" s="16">
        <f>N46+O46-'додаток сесія_2024_2028_161 (2'!O46</f>
        <v>0</v>
      </c>
    </row>
    <row r="47" spans="1:23" s="17" customFormat="1" ht="21" hidden="1" customHeight="1" x14ac:dyDescent="0.2">
      <c r="A47" s="22"/>
      <c r="B47" s="62"/>
      <c r="C47" s="37" t="s">
        <v>52</v>
      </c>
      <c r="D47" s="22"/>
      <c r="E47" s="22"/>
      <c r="F47" s="22"/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5">
        <v>450</v>
      </c>
      <c r="M47" s="44">
        <v>0</v>
      </c>
      <c r="N47" s="15">
        <f t="shared" si="1"/>
        <v>450</v>
      </c>
      <c r="O47" s="44">
        <v>0</v>
      </c>
      <c r="P47" s="44">
        <v>0</v>
      </c>
      <c r="Q47" s="44">
        <v>300</v>
      </c>
      <c r="R47" s="44">
        <v>300</v>
      </c>
      <c r="S47" s="44">
        <v>300</v>
      </c>
      <c r="T47" s="44">
        <v>0</v>
      </c>
      <c r="U47" s="15">
        <f t="shared" si="2"/>
        <v>1350</v>
      </c>
      <c r="V47" s="16">
        <f t="shared" si="0"/>
        <v>0</v>
      </c>
      <c r="W47" s="16">
        <f>N47+O47-'додаток сесія_2024_2028_161 (2'!O47</f>
        <v>0</v>
      </c>
    </row>
    <row r="48" spans="1:23" s="17" customFormat="1" ht="36.75" hidden="1" customHeight="1" x14ac:dyDescent="0.2">
      <c r="A48" s="22"/>
      <c r="B48" s="36"/>
      <c r="C48" s="48" t="s">
        <v>53</v>
      </c>
      <c r="D48" s="49"/>
      <c r="E48" s="22"/>
      <c r="F48" s="22"/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1">
        <v>0</v>
      </c>
      <c r="M48" s="50">
        <v>0</v>
      </c>
      <c r="N48" s="15">
        <f t="shared" si="1"/>
        <v>0</v>
      </c>
      <c r="O48" s="50">
        <v>6000</v>
      </c>
      <c r="P48" s="50">
        <v>7500</v>
      </c>
      <c r="Q48" s="50">
        <v>0</v>
      </c>
      <c r="R48" s="50">
        <v>0</v>
      </c>
      <c r="S48" s="50">
        <v>0</v>
      </c>
      <c r="T48" s="50">
        <v>0</v>
      </c>
      <c r="U48" s="15">
        <f t="shared" si="2"/>
        <v>13500</v>
      </c>
      <c r="V48" s="16">
        <f t="shared" si="0"/>
        <v>0</v>
      </c>
      <c r="W48" s="16">
        <f>N48+O48-'додаток сесія_2024_2028_161 (2'!O48</f>
        <v>0</v>
      </c>
    </row>
    <row r="49" spans="1:23" s="17" customFormat="1" ht="28.5" hidden="1" customHeight="1" x14ac:dyDescent="0.2">
      <c r="A49" s="22"/>
      <c r="B49" s="36"/>
      <c r="C49" s="37" t="s">
        <v>54</v>
      </c>
      <c r="D49" s="49"/>
      <c r="E49" s="22"/>
      <c r="F49" s="22"/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5">
        <v>0</v>
      </c>
      <c r="M49" s="44">
        <v>0</v>
      </c>
      <c r="N49" s="15">
        <f t="shared" si="1"/>
        <v>0</v>
      </c>
      <c r="O49" s="44">
        <v>5200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15">
        <f t="shared" si="2"/>
        <v>5200</v>
      </c>
      <c r="V49" s="16">
        <f t="shared" si="0"/>
        <v>0</v>
      </c>
      <c r="W49" s="16">
        <f>N49+O49-'додаток сесія_2024_2028_161 (2'!O49</f>
        <v>0</v>
      </c>
    </row>
    <row r="50" spans="1:23" s="17" customFormat="1" ht="23.25" hidden="1" customHeight="1" x14ac:dyDescent="0.2">
      <c r="A50" s="22"/>
      <c r="B50" s="36"/>
      <c r="C50" s="37" t="s">
        <v>55</v>
      </c>
      <c r="D50" s="49"/>
      <c r="E50" s="22"/>
      <c r="F50" s="22"/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5">
        <v>0</v>
      </c>
      <c r="M50" s="44">
        <v>0</v>
      </c>
      <c r="N50" s="15">
        <f t="shared" si="1"/>
        <v>0</v>
      </c>
      <c r="O50" s="44">
        <v>2200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15">
        <f t="shared" si="2"/>
        <v>2200</v>
      </c>
      <c r="V50" s="16">
        <f t="shared" si="0"/>
        <v>0</v>
      </c>
      <c r="W50" s="16">
        <f>N50+O50-'додаток сесія_2024_2028_161 (2'!O50</f>
        <v>0</v>
      </c>
    </row>
    <row r="51" spans="1:23" s="17" customFormat="1" ht="21.75" hidden="1" customHeight="1" x14ac:dyDescent="0.2">
      <c r="A51" s="22"/>
      <c r="B51" s="36"/>
      <c r="C51" s="48" t="s">
        <v>56</v>
      </c>
      <c r="D51" s="53"/>
      <c r="E51" s="22"/>
      <c r="F51" s="53"/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5">
        <v>0</v>
      </c>
      <c r="M51" s="44">
        <v>0</v>
      </c>
      <c r="N51" s="15">
        <f t="shared" si="1"/>
        <v>0</v>
      </c>
      <c r="O51" s="44">
        <v>0</v>
      </c>
      <c r="P51" s="44">
        <v>0</v>
      </c>
      <c r="Q51" s="44">
        <v>1000</v>
      </c>
      <c r="R51" s="44">
        <v>0</v>
      </c>
      <c r="S51" s="44">
        <v>0</v>
      </c>
      <c r="T51" s="44">
        <v>0</v>
      </c>
      <c r="U51" s="15">
        <f t="shared" si="2"/>
        <v>1000</v>
      </c>
      <c r="V51" s="16">
        <f t="shared" si="0"/>
        <v>0</v>
      </c>
      <c r="W51" s="16">
        <f>N51+O51-'додаток сесія_2024_2028_161 (2'!O51</f>
        <v>0</v>
      </c>
    </row>
    <row r="52" spans="1:23" s="17" customFormat="1" ht="21.75" hidden="1" customHeight="1" x14ac:dyDescent="0.2">
      <c r="A52" s="22"/>
      <c r="B52" s="36"/>
      <c r="C52" s="48" t="s">
        <v>57</v>
      </c>
      <c r="D52" s="53"/>
      <c r="E52" s="22"/>
      <c r="F52" s="53"/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15">
        <f t="shared" si="1"/>
        <v>0</v>
      </c>
      <c r="O52" s="44">
        <v>0</v>
      </c>
      <c r="P52" s="44">
        <v>0</v>
      </c>
      <c r="Q52" s="44">
        <v>0</v>
      </c>
      <c r="R52" s="44">
        <v>7000</v>
      </c>
      <c r="S52" s="44">
        <v>0</v>
      </c>
      <c r="T52" s="44">
        <v>0</v>
      </c>
      <c r="U52" s="15">
        <f t="shared" si="2"/>
        <v>7000</v>
      </c>
      <c r="V52" s="16">
        <f t="shared" si="0"/>
        <v>0</v>
      </c>
      <c r="W52" s="16">
        <f>N52+O52-'додаток сесія_2024_2028_161 (2'!O52</f>
        <v>0</v>
      </c>
    </row>
    <row r="53" spans="1:23" s="17" customFormat="1" ht="21.75" hidden="1" customHeight="1" x14ac:dyDescent="0.2">
      <c r="A53" s="22"/>
      <c r="B53" s="36"/>
      <c r="C53" s="48" t="s">
        <v>58</v>
      </c>
      <c r="D53" s="53"/>
      <c r="E53" s="22"/>
      <c r="F53" s="53"/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15">
        <f t="shared" si="1"/>
        <v>0</v>
      </c>
      <c r="O53" s="44">
        <v>0</v>
      </c>
      <c r="P53" s="44">
        <v>0</v>
      </c>
      <c r="Q53" s="44">
        <v>4800</v>
      </c>
      <c r="R53" s="44">
        <v>0</v>
      </c>
      <c r="S53" s="44">
        <v>5000</v>
      </c>
      <c r="T53" s="44">
        <v>0</v>
      </c>
      <c r="U53" s="15">
        <f t="shared" si="2"/>
        <v>9800</v>
      </c>
      <c r="V53" s="16">
        <f t="shared" si="0"/>
        <v>0</v>
      </c>
      <c r="W53" s="16">
        <f>N53+O53-'додаток сесія_2024_2028_161 (2'!O53</f>
        <v>0</v>
      </c>
    </row>
    <row r="54" spans="1:23" s="17" customFormat="1" ht="24.75" hidden="1" customHeight="1" x14ac:dyDescent="0.2">
      <c r="A54" s="22"/>
      <c r="B54" s="36"/>
      <c r="C54" s="48" t="s">
        <v>59</v>
      </c>
      <c r="D54" s="53"/>
      <c r="E54" s="22"/>
      <c r="F54" s="53"/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15">
        <f t="shared" si="1"/>
        <v>0</v>
      </c>
      <c r="O54" s="44">
        <v>0</v>
      </c>
      <c r="P54" s="44">
        <v>6100</v>
      </c>
      <c r="Q54" s="44">
        <v>0</v>
      </c>
      <c r="R54" s="44">
        <v>0</v>
      </c>
      <c r="S54" s="44">
        <v>0</v>
      </c>
      <c r="T54" s="44">
        <v>0</v>
      </c>
      <c r="U54" s="15">
        <f t="shared" si="2"/>
        <v>6100</v>
      </c>
      <c r="V54" s="16">
        <f t="shared" si="0"/>
        <v>0</v>
      </c>
      <c r="W54" s="16">
        <f>N54+O54-'додаток сесія_2024_2028_161 (2'!O54</f>
        <v>0</v>
      </c>
    </row>
    <row r="55" spans="1:23" s="17" customFormat="1" ht="48.75" hidden="1" customHeight="1" x14ac:dyDescent="0.2">
      <c r="A55" s="22"/>
      <c r="B55" s="30"/>
      <c r="C55" s="54" t="s">
        <v>60</v>
      </c>
      <c r="D55" s="55" t="s">
        <v>61</v>
      </c>
      <c r="E55" s="18"/>
      <c r="F55" s="55" t="s">
        <v>13</v>
      </c>
      <c r="G55" s="15">
        <v>0</v>
      </c>
      <c r="H55" s="15">
        <v>0</v>
      </c>
      <c r="I55" s="15">
        <v>0</v>
      </c>
      <c r="J55" s="15">
        <v>2000</v>
      </c>
      <c r="K55" s="15">
        <v>1760.9</v>
      </c>
      <c r="L55" s="15">
        <f>2000+2100</f>
        <v>4100</v>
      </c>
      <c r="M55" s="15">
        <f>2500+3000+2149.3</f>
        <v>7649.3</v>
      </c>
      <c r="N55" s="15">
        <f t="shared" si="1"/>
        <v>15510.2</v>
      </c>
      <c r="O55" s="15">
        <f>3000+10000+2000+13790</f>
        <v>28790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f t="shared" si="2"/>
        <v>44300.2</v>
      </c>
      <c r="V55" s="16">
        <f t="shared" si="0"/>
        <v>0</v>
      </c>
      <c r="W55" s="16">
        <f>N55+O55-'додаток сесія_2024_2028_161 (2'!O55</f>
        <v>0</v>
      </c>
    </row>
    <row r="56" spans="1:23" s="17" customFormat="1" ht="53.25" hidden="1" customHeight="1" x14ac:dyDescent="0.2">
      <c r="A56" s="22"/>
      <c r="B56" s="30"/>
      <c r="C56" s="34" t="s">
        <v>62</v>
      </c>
      <c r="D56" s="56" t="s">
        <v>61</v>
      </c>
      <c r="E56" s="18"/>
      <c r="F56" s="55" t="s">
        <v>13</v>
      </c>
      <c r="G56" s="15">
        <v>0</v>
      </c>
      <c r="H56" s="15">
        <v>0</v>
      </c>
      <c r="I56" s="15">
        <v>0</v>
      </c>
      <c r="J56" s="15">
        <v>7900</v>
      </c>
      <c r="K56" s="15">
        <v>6611.6</v>
      </c>
      <c r="L56" s="15">
        <v>10000</v>
      </c>
      <c r="M56" s="15">
        <f>14000-2149.3</f>
        <v>11850.7</v>
      </c>
      <c r="N56" s="15">
        <f t="shared" si="1"/>
        <v>36362.300000000003</v>
      </c>
      <c r="O56" s="15">
        <f>20000-10000</f>
        <v>10000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f t="shared" si="2"/>
        <v>46362.3</v>
      </c>
      <c r="V56" s="16">
        <f t="shared" si="0"/>
        <v>0</v>
      </c>
      <c r="W56" s="16">
        <f>N56+O56-'додаток сесія_2024_2028_161 (2'!O56</f>
        <v>0</v>
      </c>
    </row>
    <row r="57" spans="1:23" s="17" customFormat="1" ht="40.5" hidden="1" customHeight="1" x14ac:dyDescent="0.2">
      <c r="A57" s="22"/>
      <c r="B57" s="30"/>
      <c r="C57" s="57" t="s">
        <v>63</v>
      </c>
      <c r="D57" s="29" t="s">
        <v>61</v>
      </c>
      <c r="E57" s="18"/>
      <c r="F57" s="55" t="s">
        <v>13</v>
      </c>
      <c r="G57" s="15">
        <v>0</v>
      </c>
      <c r="H57" s="15">
        <v>0</v>
      </c>
      <c r="I57" s="15">
        <v>0</v>
      </c>
      <c r="J57" s="15">
        <v>1600</v>
      </c>
      <c r="K57" s="15">
        <v>5500</v>
      </c>
      <c r="L57" s="15">
        <f>7600-3900</f>
        <v>3700</v>
      </c>
      <c r="M57" s="15">
        <f>8360-8360</f>
        <v>0</v>
      </c>
      <c r="N57" s="15">
        <f t="shared" si="1"/>
        <v>10800</v>
      </c>
      <c r="O57" s="15">
        <f>9200-9200</f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f t="shared" si="2"/>
        <v>10800</v>
      </c>
      <c r="V57" s="16">
        <f t="shared" si="0"/>
        <v>0</v>
      </c>
      <c r="W57" s="16">
        <f>N57+O57-'додаток сесія_2024_2028_161 (2'!O57</f>
        <v>0</v>
      </c>
    </row>
    <row r="58" spans="1:23" s="17" customFormat="1" ht="57.75" hidden="1" customHeight="1" x14ac:dyDescent="0.2">
      <c r="A58" s="22"/>
      <c r="B58" s="36"/>
      <c r="C58" s="42" t="s">
        <v>64</v>
      </c>
      <c r="D58" s="13" t="s">
        <v>44</v>
      </c>
      <c r="E58" s="473"/>
      <c r="F58" s="55" t="s">
        <v>13</v>
      </c>
      <c r="G58" s="15">
        <v>0</v>
      </c>
      <c r="H58" s="20">
        <v>0</v>
      </c>
      <c r="I58" s="20">
        <v>0</v>
      </c>
      <c r="J58" s="20">
        <v>6000</v>
      </c>
      <c r="K58" s="20">
        <v>13000</v>
      </c>
      <c r="L58" s="20">
        <v>1260</v>
      </c>
      <c r="M58" s="20">
        <v>1385</v>
      </c>
      <c r="N58" s="15">
        <f t="shared" si="1"/>
        <v>21645</v>
      </c>
      <c r="O58" s="20">
        <v>1525</v>
      </c>
      <c r="P58" s="20">
        <v>0</v>
      </c>
      <c r="Q58" s="20">
        <v>1300</v>
      </c>
      <c r="R58" s="20">
        <v>1500</v>
      </c>
      <c r="S58" s="20">
        <v>2000</v>
      </c>
      <c r="T58" s="20">
        <v>2500</v>
      </c>
      <c r="U58" s="15">
        <f t="shared" si="2"/>
        <v>30470</v>
      </c>
      <c r="V58" s="16">
        <f t="shared" si="0"/>
        <v>0</v>
      </c>
      <c r="W58" s="16">
        <f>N58+O58-'додаток сесія_2024_2028_161 (2'!O58</f>
        <v>0</v>
      </c>
    </row>
    <row r="59" spans="1:23" s="17" customFormat="1" ht="54.75" hidden="1" customHeight="1" x14ac:dyDescent="0.2">
      <c r="A59" s="574"/>
      <c r="B59" s="36"/>
      <c r="C59" s="42" t="s">
        <v>65</v>
      </c>
      <c r="D59" s="13" t="s">
        <v>61</v>
      </c>
      <c r="E59" s="473"/>
      <c r="F59" s="55" t="s">
        <v>13</v>
      </c>
      <c r="G59" s="15">
        <v>0</v>
      </c>
      <c r="H59" s="20">
        <v>0</v>
      </c>
      <c r="I59" s="20">
        <v>0</v>
      </c>
      <c r="J59" s="20">
        <v>2500</v>
      </c>
      <c r="K59" s="20">
        <v>7500</v>
      </c>
      <c r="L59" s="20">
        <v>1835.7</v>
      </c>
      <c r="M59" s="20">
        <f>8500</f>
        <v>8500</v>
      </c>
      <c r="N59" s="15">
        <f t="shared" si="1"/>
        <v>20335.7</v>
      </c>
      <c r="O59" s="20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f t="shared" si="2"/>
        <v>20335.7</v>
      </c>
      <c r="V59" s="16">
        <f t="shared" si="0"/>
        <v>0</v>
      </c>
      <c r="W59" s="16">
        <f>N59+O59-'додаток сесія_2024_2028_161 (2'!O59</f>
        <v>0</v>
      </c>
    </row>
    <row r="60" spans="1:23" s="17" customFormat="1" ht="71.25" hidden="1" customHeight="1" x14ac:dyDescent="0.2">
      <c r="A60" s="575"/>
      <c r="B60" s="36"/>
      <c r="C60" s="42" t="s">
        <v>66</v>
      </c>
      <c r="D60" s="13" t="s">
        <v>44</v>
      </c>
      <c r="E60" s="473"/>
      <c r="F60" s="55" t="s">
        <v>13</v>
      </c>
      <c r="G60" s="15">
        <v>0</v>
      </c>
      <c r="H60" s="20">
        <v>0</v>
      </c>
      <c r="I60" s="20">
        <v>0</v>
      </c>
      <c r="J60" s="20">
        <v>0</v>
      </c>
      <c r="K60" s="20">
        <v>1000</v>
      </c>
      <c r="L60" s="20">
        <v>10000</v>
      </c>
      <c r="M60" s="20">
        <f>10000-8500</f>
        <v>1500</v>
      </c>
      <c r="N60" s="15">
        <f t="shared" si="1"/>
        <v>12500</v>
      </c>
      <c r="O60" s="20">
        <v>0</v>
      </c>
      <c r="P60" s="20">
        <v>0</v>
      </c>
      <c r="Q60" s="20">
        <v>1000</v>
      </c>
      <c r="R60" s="20">
        <v>0</v>
      </c>
      <c r="S60" s="20">
        <v>0</v>
      </c>
      <c r="T60" s="20">
        <v>0</v>
      </c>
      <c r="U60" s="15">
        <f t="shared" si="2"/>
        <v>13500</v>
      </c>
      <c r="V60" s="16">
        <f t="shared" si="0"/>
        <v>0</v>
      </c>
      <c r="W60" s="16">
        <f>N60+O60-'додаток сесія_2024_2028_161 (2'!O60</f>
        <v>0</v>
      </c>
    </row>
    <row r="61" spans="1:23" s="17" customFormat="1" ht="46.5" hidden="1" customHeight="1" x14ac:dyDescent="0.2">
      <c r="A61" s="22"/>
      <c r="B61" s="36"/>
      <c r="C61" s="42" t="s">
        <v>67</v>
      </c>
      <c r="D61" s="13" t="s">
        <v>68</v>
      </c>
      <c r="E61" s="473"/>
      <c r="F61" s="55" t="s">
        <v>13</v>
      </c>
      <c r="G61" s="15">
        <v>0</v>
      </c>
      <c r="H61" s="20">
        <v>0</v>
      </c>
      <c r="I61" s="20">
        <v>0</v>
      </c>
      <c r="J61" s="20">
        <v>0</v>
      </c>
      <c r="K61" s="20">
        <v>7950</v>
      </c>
      <c r="L61" s="20">
        <v>0</v>
      </c>
      <c r="M61" s="20">
        <v>0</v>
      </c>
      <c r="N61" s="15">
        <f t="shared" si="1"/>
        <v>7950</v>
      </c>
      <c r="O61" s="20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f t="shared" si="2"/>
        <v>7950</v>
      </c>
      <c r="V61" s="16">
        <f t="shared" si="0"/>
        <v>0</v>
      </c>
      <c r="W61" s="16">
        <f>N61+O61-'додаток сесія_2024_2028_161 (2'!O61</f>
        <v>0</v>
      </c>
    </row>
    <row r="62" spans="1:23" s="17" customFormat="1" ht="42.75" hidden="1" customHeight="1" x14ac:dyDescent="0.2">
      <c r="A62" s="22"/>
      <c r="B62" s="82"/>
      <c r="C62" s="42" t="s">
        <v>69</v>
      </c>
      <c r="D62" s="13" t="s">
        <v>61</v>
      </c>
      <c r="E62" s="473"/>
      <c r="F62" s="55" t="s">
        <v>13</v>
      </c>
      <c r="G62" s="15">
        <v>0</v>
      </c>
      <c r="H62" s="20">
        <v>0</v>
      </c>
      <c r="I62" s="20">
        <v>0</v>
      </c>
      <c r="J62" s="20">
        <v>0</v>
      </c>
      <c r="K62" s="20">
        <v>1000</v>
      </c>
      <c r="L62" s="20">
        <v>10000</v>
      </c>
      <c r="M62" s="20">
        <f>4000-2250</f>
        <v>1750</v>
      </c>
      <c r="N62" s="15">
        <f t="shared" si="1"/>
        <v>12750</v>
      </c>
      <c r="O62" s="20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f t="shared" si="2"/>
        <v>12750</v>
      </c>
      <c r="V62" s="16">
        <f t="shared" si="0"/>
        <v>0</v>
      </c>
      <c r="W62" s="16">
        <f>N62+O62-'додаток сесія_2024_2028_161 (2'!O62</f>
        <v>0</v>
      </c>
    </row>
    <row r="63" spans="1:23" s="17" customFormat="1" ht="47.25" hidden="1" customHeight="1" x14ac:dyDescent="0.2">
      <c r="A63" s="22"/>
      <c r="B63" s="82"/>
      <c r="C63" s="58" t="s">
        <v>70</v>
      </c>
      <c r="D63" s="23" t="s">
        <v>71</v>
      </c>
      <c r="E63" s="503"/>
      <c r="F63" s="55" t="s">
        <v>13</v>
      </c>
      <c r="G63" s="15">
        <v>0</v>
      </c>
      <c r="H63" s="20">
        <v>0</v>
      </c>
      <c r="I63" s="20">
        <v>0</v>
      </c>
      <c r="J63" s="20">
        <v>0</v>
      </c>
      <c r="K63" s="20">
        <v>0</v>
      </c>
      <c r="L63" s="20">
        <v>2000</v>
      </c>
      <c r="M63" s="20">
        <v>7000</v>
      </c>
      <c r="N63" s="15">
        <f t="shared" si="1"/>
        <v>9000</v>
      </c>
      <c r="O63" s="20">
        <v>10000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f t="shared" si="2"/>
        <v>19000</v>
      </c>
      <c r="V63" s="16">
        <f t="shared" si="0"/>
        <v>0</v>
      </c>
      <c r="W63" s="16">
        <f>N63+O63-'додаток сесія_2024_2028_161 (2'!O63</f>
        <v>0</v>
      </c>
    </row>
    <row r="64" spans="1:23" s="17" customFormat="1" ht="52.5" hidden="1" customHeight="1" x14ac:dyDescent="0.2">
      <c r="A64" s="22"/>
      <c r="B64" s="19"/>
      <c r="C64" s="59" t="s">
        <v>72</v>
      </c>
      <c r="D64" s="60" t="s">
        <v>73</v>
      </c>
      <c r="E64" s="503"/>
      <c r="F64" s="55" t="s">
        <v>13</v>
      </c>
      <c r="G64" s="15">
        <v>0</v>
      </c>
      <c r="H64" s="20">
        <v>0</v>
      </c>
      <c r="I64" s="20">
        <v>0</v>
      </c>
      <c r="J64" s="20">
        <v>0</v>
      </c>
      <c r="K64" s="20">
        <v>0</v>
      </c>
      <c r="L64" s="20">
        <v>2000</v>
      </c>
      <c r="M64" s="20">
        <v>2000</v>
      </c>
      <c r="N64" s="15">
        <f t="shared" si="1"/>
        <v>4000</v>
      </c>
      <c r="O64" s="20">
        <v>0</v>
      </c>
      <c r="P64" s="20">
        <v>0</v>
      </c>
      <c r="Q64" s="20">
        <v>0</v>
      </c>
      <c r="R64" s="20">
        <v>5000</v>
      </c>
      <c r="S64" s="20">
        <v>0</v>
      </c>
      <c r="T64" s="20">
        <v>0</v>
      </c>
      <c r="U64" s="15">
        <f t="shared" si="2"/>
        <v>9000</v>
      </c>
      <c r="V64" s="16">
        <f t="shared" si="0"/>
        <v>0</v>
      </c>
      <c r="W64" s="16">
        <f>N64+O64-'додаток сесія_2024_2028_161 (2'!O64</f>
        <v>0</v>
      </c>
    </row>
    <row r="65" spans="1:23" s="17" customFormat="1" ht="71.25" hidden="1" customHeight="1" x14ac:dyDescent="0.2">
      <c r="A65" s="47"/>
      <c r="B65" s="469"/>
      <c r="C65" s="63" t="s">
        <v>74</v>
      </c>
      <c r="D65" s="13" t="s">
        <v>73</v>
      </c>
      <c r="E65" s="476"/>
      <c r="F65" s="55" t="s">
        <v>13</v>
      </c>
      <c r="G65" s="15">
        <v>0</v>
      </c>
      <c r="H65" s="20">
        <v>0</v>
      </c>
      <c r="I65" s="20">
        <v>0</v>
      </c>
      <c r="J65" s="20">
        <v>0</v>
      </c>
      <c r="K65" s="20">
        <v>0</v>
      </c>
      <c r="L65" s="20">
        <v>2000</v>
      </c>
      <c r="M65" s="20">
        <v>2000</v>
      </c>
      <c r="N65" s="15">
        <f t="shared" si="1"/>
        <v>4000</v>
      </c>
      <c r="O65" s="20">
        <v>0</v>
      </c>
      <c r="P65" s="20">
        <v>0</v>
      </c>
      <c r="Q65" s="20">
        <v>4200</v>
      </c>
      <c r="R65" s="20">
        <v>0</v>
      </c>
      <c r="S65" s="20">
        <v>0</v>
      </c>
      <c r="T65" s="20">
        <v>0</v>
      </c>
      <c r="U65" s="15">
        <f t="shared" si="2"/>
        <v>8200</v>
      </c>
      <c r="V65" s="16">
        <f t="shared" si="0"/>
        <v>0</v>
      </c>
      <c r="W65" s="16">
        <f>N65+O65-'додаток сесія_2024_2028_161 (2'!O65</f>
        <v>0</v>
      </c>
    </row>
    <row r="66" spans="1:23" s="17" customFormat="1" ht="44.25" hidden="1" customHeight="1" x14ac:dyDescent="0.2">
      <c r="A66" s="22"/>
      <c r="B66" s="62"/>
      <c r="C66" s="63" t="s">
        <v>75</v>
      </c>
      <c r="D66" s="13" t="s">
        <v>73</v>
      </c>
      <c r="E66" s="503"/>
      <c r="F66" s="55" t="s">
        <v>13</v>
      </c>
      <c r="G66" s="15">
        <v>0</v>
      </c>
      <c r="H66" s="20">
        <v>0</v>
      </c>
      <c r="I66" s="20">
        <v>0</v>
      </c>
      <c r="J66" s="20">
        <v>0</v>
      </c>
      <c r="K66" s="20">
        <v>0</v>
      </c>
      <c r="L66" s="20">
        <f>500+1000</f>
        <v>1500</v>
      </c>
      <c r="M66" s="20">
        <v>1000</v>
      </c>
      <c r="N66" s="15">
        <f t="shared" si="1"/>
        <v>2500</v>
      </c>
      <c r="O66" s="20">
        <v>1500</v>
      </c>
      <c r="P66" s="20">
        <v>2000</v>
      </c>
      <c r="Q66" s="20">
        <v>3000</v>
      </c>
      <c r="R66" s="20">
        <v>8000</v>
      </c>
      <c r="S66" s="20">
        <v>10000</v>
      </c>
      <c r="T66" s="20">
        <v>10000</v>
      </c>
      <c r="U66" s="15">
        <f t="shared" si="2"/>
        <v>37000</v>
      </c>
      <c r="V66" s="16">
        <f t="shared" si="0"/>
        <v>0</v>
      </c>
      <c r="W66" s="16">
        <f>N66+O66-'додаток сесія_2024_2028_161 (2'!O66</f>
        <v>0</v>
      </c>
    </row>
    <row r="67" spans="1:23" s="17" customFormat="1" ht="44.25" hidden="1" customHeight="1" x14ac:dyDescent="0.2">
      <c r="A67" s="22"/>
      <c r="B67" s="576"/>
      <c r="C67" s="63" t="s">
        <v>76</v>
      </c>
      <c r="D67" s="13" t="s">
        <v>73</v>
      </c>
      <c r="E67" s="503"/>
      <c r="F67" s="55" t="s">
        <v>13</v>
      </c>
      <c r="G67" s="15">
        <v>0</v>
      </c>
      <c r="H67" s="20">
        <v>0</v>
      </c>
      <c r="I67" s="20">
        <v>0</v>
      </c>
      <c r="J67" s="20">
        <v>0</v>
      </c>
      <c r="K67" s="20">
        <v>0</v>
      </c>
      <c r="L67" s="20">
        <v>1000</v>
      </c>
      <c r="M67" s="20">
        <v>3000</v>
      </c>
      <c r="N67" s="15">
        <f t="shared" si="1"/>
        <v>4000</v>
      </c>
      <c r="O67" s="20">
        <f>3000-3000</f>
        <v>0</v>
      </c>
      <c r="P67" s="20">
        <v>0</v>
      </c>
      <c r="Q67" s="20">
        <v>1500</v>
      </c>
      <c r="R67" s="20">
        <v>2000</v>
      </c>
      <c r="S67" s="20">
        <v>0</v>
      </c>
      <c r="T67" s="20">
        <v>0</v>
      </c>
      <c r="U67" s="15">
        <f t="shared" si="2"/>
        <v>7500</v>
      </c>
      <c r="V67" s="16">
        <f t="shared" si="0"/>
        <v>0</v>
      </c>
      <c r="W67" s="16">
        <f>N67+O67-'додаток сесія_2024_2028_161 (2'!O67</f>
        <v>0</v>
      </c>
    </row>
    <row r="68" spans="1:23" s="17" customFormat="1" ht="46.5" hidden="1" customHeight="1" x14ac:dyDescent="0.2">
      <c r="A68" s="574"/>
      <c r="B68" s="575"/>
      <c r="C68" s="63" t="s">
        <v>77</v>
      </c>
      <c r="D68" s="13" t="s">
        <v>73</v>
      </c>
      <c r="E68" s="503"/>
      <c r="F68" s="55" t="s">
        <v>13</v>
      </c>
      <c r="G68" s="15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6500</v>
      </c>
      <c r="N68" s="15">
        <f t="shared" si="1"/>
        <v>6500</v>
      </c>
      <c r="O68" s="20">
        <v>0</v>
      </c>
      <c r="P68" s="20">
        <v>0</v>
      </c>
      <c r="Q68" s="20">
        <v>0</v>
      </c>
      <c r="R68" s="20">
        <v>5500</v>
      </c>
      <c r="S68" s="20">
        <v>0</v>
      </c>
      <c r="T68" s="20">
        <v>0</v>
      </c>
      <c r="U68" s="15">
        <f t="shared" si="2"/>
        <v>12000</v>
      </c>
      <c r="V68" s="16">
        <f t="shared" si="0"/>
        <v>0</v>
      </c>
      <c r="W68" s="16">
        <f>N68+O68-'додаток сесія_2024_2028_161 (2'!O68</f>
        <v>0</v>
      </c>
    </row>
    <row r="69" spans="1:23" s="17" customFormat="1" ht="49.5" hidden="1" customHeight="1" x14ac:dyDescent="0.2">
      <c r="A69" s="575"/>
      <c r="B69" s="575"/>
      <c r="C69" s="63" t="s">
        <v>78</v>
      </c>
      <c r="D69" s="13" t="s">
        <v>73</v>
      </c>
      <c r="E69" s="503"/>
      <c r="F69" s="55" t="s">
        <v>13</v>
      </c>
      <c r="G69" s="15">
        <v>0</v>
      </c>
      <c r="H69" s="20">
        <v>0</v>
      </c>
      <c r="I69" s="20">
        <v>0</v>
      </c>
      <c r="J69" s="20">
        <v>0</v>
      </c>
      <c r="K69" s="20">
        <v>0</v>
      </c>
      <c r="L69" s="20">
        <f>10000-2100</f>
        <v>7900</v>
      </c>
      <c r="M69" s="20">
        <v>0</v>
      </c>
      <c r="N69" s="15">
        <f t="shared" si="1"/>
        <v>7900</v>
      </c>
      <c r="O69" s="20">
        <v>0</v>
      </c>
      <c r="P69" s="20">
        <v>0</v>
      </c>
      <c r="Q69" s="20">
        <v>300</v>
      </c>
      <c r="R69" s="20">
        <v>300</v>
      </c>
      <c r="S69" s="20">
        <v>0</v>
      </c>
      <c r="T69" s="20">
        <v>0</v>
      </c>
      <c r="U69" s="15">
        <f t="shared" si="2"/>
        <v>8500</v>
      </c>
      <c r="V69" s="16">
        <f t="shared" si="0"/>
        <v>0</v>
      </c>
      <c r="W69" s="16">
        <f>N69+O69-'додаток сесія_2024_2028_161 (2'!O69</f>
        <v>0</v>
      </c>
    </row>
    <row r="70" spans="1:23" s="17" customFormat="1" ht="48" hidden="1" customHeight="1" x14ac:dyDescent="0.2">
      <c r="A70" s="18"/>
      <c r="B70" s="30"/>
      <c r="C70" s="63" t="s">
        <v>392</v>
      </c>
      <c r="D70" s="13" t="s">
        <v>73</v>
      </c>
      <c r="E70" s="503"/>
      <c r="F70" s="55" t="s">
        <v>13</v>
      </c>
      <c r="G70" s="15">
        <v>0</v>
      </c>
      <c r="H70" s="20">
        <v>0</v>
      </c>
      <c r="I70" s="20">
        <v>0</v>
      </c>
      <c r="J70" s="20">
        <v>0</v>
      </c>
      <c r="K70" s="20">
        <v>0</v>
      </c>
      <c r="L70" s="20">
        <v>51559</v>
      </c>
      <c r="M70" s="20">
        <v>50074</v>
      </c>
      <c r="N70" s="15">
        <f t="shared" si="1"/>
        <v>101633</v>
      </c>
      <c r="O70" s="20">
        <v>51535</v>
      </c>
      <c r="P70" s="20">
        <v>63296.71587</v>
      </c>
      <c r="Q70" s="20">
        <v>69180.47911</v>
      </c>
      <c r="R70" s="20">
        <v>62949.17669</v>
      </c>
      <c r="S70" s="20">
        <v>59681.441910000001</v>
      </c>
      <c r="T70" s="20">
        <v>56045.670409999999</v>
      </c>
      <c r="U70" s="15">
        <f t="shared" si="2"/>
        <v>464321.48398999998</v>
      </c>
      <c r="V70" s="16">
        <f t="shared" si="0"/>
        <v>0</v>
      </c>
      <c r="W70" s="16">
        <f>N70+O70-'додаток сесія_2024_2028_161 (2'!O70</f>
        <v>0</v>
      </c>
    </row>
    <row r="71" spans="1:23" s="17" customFormat="1" ht="42.75" hidden="1" customHeight="1" x14ac:dyDescent="0.2">
      <c r="A71" s="18"/>
      <c r="B71" s="30"/>
      <c r="C71" s="63" t="s">
        <v>80</v>
      </c>
      <c r="D71" s="14" t="s">
        <v>73</v>
      </c>
      <c r="E71" s="500"/>
      <c r="F71" s="55" t="s">
        <v>13</v>
      </c>
      <c r="G71" s="15">
        <v>0</v>
      </c>
      <c r="H71" s="20">
        <v>0</v>
      </c>
      <c r="I71" s="20">
        <v>0</v>
      </c>
      <c r="J71" s="20">
        <v>0</v>
      </c>
      <c r="K71" s="20">
        <v>0</v>
      </c>
      <c r="L71" s="20">
        <f>307183.1-2334.6</f>
        <v>304848.5</v>
      </c>
      <c r="M71" s="15">
        <f>361442.2-1000</f>
        <v>360442.2</v>
      </c>
      <c r="N71" s="15">
        <f t="shared" si="1"/>
        <v>665290.69999999995</v>
      </c>
      <c r="O71" s="15">
        <v>449833.8</v>
      </c>
      <c r="P71" s="15">
        <v>550038.13575999998</v>
      </c>
      <c r="Q71" s="15">
        <v>575145.27782000008</v>
      </c>
      <c r="R71" s="15">
        <v>618980.48228000011</v>
      </c>
      <c r="S71" s="15">
        <v>666502.23373000009</v>
      </c>
      <c r="T71" s="15">
        <v>720843.09429999988</v>
      </c>
      <c r="U71" s="15">
        <f t="shared" si="2"/>
        <v>4246633.72389</v>
      </c>
      <c r="V71" s="16">
        <f t="shared" si="0"/>
        <v>0</v>
      </c>
      <c r="W71" s="16">
        <f>N71+O71-'додаток сесія_2024_2028_161 (2'!O71</f>
        <v>0</v>
      </c>
    </row>
    <row r="72" spans="1:23" s="17" customFormat="1" ht="41.25" hidden="1" customHeight="1" x14ac:dyDescent="0.2">
      <c r="A72" s="18"/>
      <c r="B72" s="30"/>
      <c r="C72" s="63" t="s">
        <v>81</v>
      </c>
      <c r="D72" s="14" t="s">
        <v>73</v>
      </c>
      <c r="E72" s="500"/>
      <c r="F72" s="55" t="s">
        <v>13</v>
      </c>
      <c r="G72" s="15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65">
        <v>2250</v>
      </c>
      <c r="N72" s="15">
        <f t="shared" si="1"/>
        <v>2250</v>
      </c>
      <c r="O72" s="65">
        <v>0</v>
      </c>
      <c r="P72" s="65">
        <v>3700</v>
      </c>
      <c r="Q72" s="65">
        <v>1500</v>
      </c>
      <c r="R72" s="65">
        <v>0</v>
      </c>
      <c r="S72" s="65">
        <v>0</v>
      </c>
      <c r="T72" s="65">
        <v>0</v>
      </c>
      <c r="U72" s="15">
        <f t="shared" si="2"/>
        <v>7450</v>
      </c>
      <c r="V72" s="16">
        <f t="shared" si="0"/>
        <v>0</v>
      </c>
      <c r="W72" s="16">
        <f>N72+O72-'додаток сесія_2024_2028_161 (2'!O72</f>
        <v>0</v>
      </c>
    </row>
    <row r="73" spans="1:23" s="17" customFormat="1" ht="45.75" hidden="1" customHeight="1" x14ac:dyDescent="0.2">
      <c r="A73" s="18"/>
      <c r="B73" s="30"/>
      <c r="C73" s="63" t="s">
        <v>82</v>
      </c>
      <c r="D73" s="14" t="s">
        <v>83</v>
      </c>
      <c r="E73" s="500"/>
      <c r="F73" s="55" t="s">
        <v>13</v>
      </c>
      <c r="G73" s="15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15">
        <f>72927.1+5360+16000</f>
        <v>94287.1</v>
      </c>
      <c r="N73" s="15">
        <f t="shared" si="1"/>
        <v>94287.1</v>
      </c>
      <c r="O73" s="15">
        <f>87444.4+18000+9200+4235-2850.5+3000</f>
        <v>119028.9</v>
      </c>
      <c r="P73" s="15">
        <v>241085.13451</v>
      </c>
      <c r="Q73" s="15">
        <v>305345.93681000004</v>
      </c>
      <c r="R73" s="15">
        <v>394183.52026999998</v>
      </c>
      <c r="S73" s="15">
        <v>496402.59255</v>
      </c>
      <c r="T73" s="15">
        <v>612403.79011000006</v>
      </c>
      <c r="U73" s="15">
        <f t="shared" si="2"/>
        <v>2262736.97425</v>
      </c>
      <c r="V73" s="16">
        <f t="shared" si="0"/>
        <v>0</v>
      </c>
      <c r="W73" s="16">
        <f>N73+O73-'додаток сесія_2024_2028_161 (2'!O73</f>
        <v>0</v>
      </c>
    </row>
    <row r="74" spans="1:23" s="17" customFormat="1" ht="44.25" hidden="1" customHeight="1" x14ac:dyDescent="0.2">
      <c r="A74" s="18"/>
      <c r="B74" s="30"/>
      <c r="C74" s="63" t="s">
        <v>84</v>
      </c>
      <c r="D74" s="14" t="s">
        <v>83</v>
      </c>
      <c r="E74" s="500"/>
      <c r="F74" s="55" t="s">
        <v>13</v>
      </c>
      <c r="G74" s="15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15">
        <v>1000</v>
      </c>
      <c r="N74" s="15">
        <f t="shared" si="1"/>
        <v>1000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f t="shared" si="2"/>
        <v>1000</v>
      </c>
      <c r="V74" s="16">
        <f t="shared" si="0"/>
        <v>0</v>
      </c>
      <c r="W74" s="16">
        <f>N74+O74-'додаток сесія_2024_2028_161 (2'!O74</f>
        <v>0</v>
      </c>
    </row>
    <row r="75" spans="1:23" s="17" customFormat="1" ht="40.5" hidden="1" customHeight="1" x14ac:dyDescent="0.2">
      <c r="A75" s="18"/>
      <c r="B75" s="30"/>
      <c r="C75" s="34" t="s">
        <v>85</v>
      </c>
      <c r="D75" s="35" t="s">
        <v>86</v>
      </c>
      <c r="E75" s="500"/>
      <c r="F75" s="55" t="s">
        <v>13</v>
      </c>
      <c r="G75" s="15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15">
        <v>0</v>
      </c>
      <c r="N75" s="15">
        <f t="shared" si="1"/>
        <v>0</v>
      </c>
      <c r="O75" s="15">
        <f>150000-25055</f>
        <v>124945</v>
      </c>
      <c r="P75" s="15">
        <v>140000</v>
      </c>
      <c r="Q75" s="15">
        <v>150000</v>
      </c>
      <c r="R75" s="15">
        <v>170000</v>
      </c>
      <c r="S75" s="15">
        <v>185000</v>
      </c>
      <c r="T75" s="15">
        <v>200000</v>
      </c>
      <c r="U75" s="15">
        <f t="shared" si="2"/>
        <v>969945</v>
      </c>
      <c r="V75" s="16">
        <f t="shared" si="0"/>
        <v>0</v>
      </c>
      <c r="W75" s="16">
        <f>N75+O75-'додаток сесія_2024_2028_161 (2'!O75</f>
        <v>0</v>
      </c>
    </row>
    <row r="76" spans="1:23" s="17" customFormat="1" ht="44.25" hidden="1" customHeight="1" x14ac:dyDescent="0.2">
      <c r="A76" s="18"/>
      <c r="B76" s="30"/>
      <c r="C76" s="68" t="s">
        <v>87</v>
      </c>
      <c r="D76" s="69" t="s">
        <v>88</v>
      </c>
      <c r="E76" s="70"/>
      <c r="F76" s="55" t="s">
        <v>13</v>
      </c>
      <c r="G76" s="15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15">
        <v>0</v>
      </c>
      <c r="N76" s="15">
        <f t="shared" si="1"/>
        <v>0</v>
      </c>
      <c r="O76" s="15">
        <v>0</v>
      </c>
      <c r="P76" s="15">
        <v>0</v>
      </c>
      <c r="Q76" s="15">
        <v>132000</v>
      </c>
      <c r="R76" s="15">
        <v>140000</v>
      </c>
      <c r="S76" s="15">
        <v>110000</v>
      </c>
      <c r="T76" s="15">
        <v>125000</v>
      </c>
      <c r="U76" s="15">
        <f t="shared" si="2"/>
        <v>507000</v>
      </c>
      <c r="V76" s="16">
        <f t="shared" ref="V76:V139" si="4">G76+H76+I76+J76+K76+L76+M76+O76+P76+Q76+R76+S76+T76-U76</f>
        <v>0</v>
      </c>
      <c r="W76" s="16">
        <f>N76+O76-'додаток сесія_2024_2028_161 (2'!O76</f>
        <v>0</v>
      </c>
    </row>
    <row r="77" spans="1:23" s="17" customFormat="1" ht="56.25" hidden="1" customHeight="1" x14ac:dyDescent="0.2">
      <c r="A77" s="500">
        <v>1</v>
      </c>
      <c r="B77" s="563" t="s">
        <v>9</v>
      </c>
      <c r="C77" s="71" t="s">
        <v>89</v>
      </c>
      <c r="D77" s="40" t="s">
        <v>88</v>
      </c>
      <c r="E77" s="565" t="s">
        <v>400</v>
      </c>
      <c r="F77" s="55" t="s">
        <v>13</v>
      </c>
      <c r="G77" s="15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15">
        <v>0</v>
      </c>
      <c r="N77" s="15">
        <f t="shared" ref="N77:N140" si="5">G77+H77+I77+J77+K77+L77+M77</f>
        <v>0</v>
      </c>
      <c r="O77" s="15">
        <v>0</v>
      </c>
      <c r="P77" s="15">
        <f>2000+1500</f>
        <v>3500</v>
      </c>
      <c r="Q77" s="15">
        <v>3000</v>
      </c>
      <c r="R77" s="15">
        <v>0</v>
      </c>
      <c r="S77" s="15">
        <v>0</v>
      </c>
      <c r="T77" s="15">
        <v>0</v>
      </c>
      <c r="U77" s="15">
        <f t="shared" ref="U77:U78" si="6">SUM(G77:T77)-N77</f>
        <v>6500</v>
      </c>
      <c r="V77" s="16">
        <f t="shared" si="4"/>
        <v>0</v>
      </c>
      <c r="W77" s="16">
        <f>N77+O77-'додаток сесія_2024_2028_161 (2'!O77</f>
        <v>0</v>
      </c>
    </row>
    <row r="78" spans="1:23" s="17" customFormat="1" ht="108" hidden="1" customHeight="1" x14ac:dyDescent="0.2">
      <c r="A78" s="18"/>
      <c r="B78" s="564"/>
      <c r="C78" s="71" t="s">
        <v>90</v>
      </c>
      <c r="D78" s="73" t="s">
        <v>88</v>
      </c>
      <c r="E78" s="566"/>
      <c r="F78" s="55" t="s">
        <v>13</v>
      </c>
      <c r="G78" s="15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15">
        <v>0</v>
      </c>
      <c r="N78" s="15">
        <f t="shared" si="5"/>
        <v>0</v>
      </c>
      <c r="O78" s="15">
        <v>0</v>
      </c>
      <c r="P78" s="15">
        <f>15000-1500</f>
        <v>13500</v>
      </c>
      <c r="Q78" s="15">
        <v>2000</v>
      </c>
      <c r="R78" s="15">
        <v>0</v>
      </c>
      <c r="S78" s="15">
        <v>0</v>
      </c>
      <c r="T78" s="15">
        <v>0</v>
      </c>
      <c r="U78" s="15">
        <f t="shared" si="6"/>
        <v>15500</v>
      </c>
      <c r="V78" s="16">
        <f t="shared" si="4"/>
        <v>0</v>
      </c>
      <c r="W78" s="16">
        <f>N78+O78-'додаток сесія_2024_2028_161 (2'!O78</f>
        <v>0</v>
      </c>
    </row>
    <row r="79" spans="1:23" s="17" customFormat="1" ht="45" hidden="1" customHeight="1" x14ac:dyDescent="0.2">
      <c r="A79" s="567" t="s">
        <v>91</v>
      </c>
      <c r="B79" s="568"/>
      <c r="C79" s="74"/>
      <c r="D79" s="75"/>
      <c r="E79" s="477"/>
      <c r="F79" s="55" t="s">
        <v>13</v>
      </c>
      <c r="G79" s="77">
        <f t="shared" ref="G79:T79" si="7">SUM(G12:G78)-G39</f>
        <v>115838.47999999998</v>
      </c>
      <c r="H79" s="77">
        <f t="shared" si="7"/>
        <v>214504.09999999998</v>
      </c>
      <c r="I79" s="77">
        <f t="shared" si="7"/>
        <v>240425.5</v>
      </c>
      <c r="J79" s="77">
        <f t="shared" si="7"/>
        <v>295414.2</v>
      </c>
      <c r="K79" s="77">
        <f t="shared" si="7"/>
        <v>449477.26</v>
      </c>
      <c r="L79" s="77">
        <f t="shared" si="7"/>
        <v>628078.5</v>
      </c>
      <c r="M79" s="77">
        <f>SUM(M12:M78)-M39</f>
        <v>664788.29999999993</v>
      </c>
      <c r="N79" s="77">
        <f>SUM(N12:N78)-N39</f>
        <v>2608526.3399999994</v>
      </c>
      <c r="O79" s="77">
        <f t="shared" si="7"/>
        <v>854868.20000000007</v>
      </c>
      <c r="P79" s="77">
        <f t="shared" si="7"/>
        <v>1049319.9861399999</v>
      </c>
      <c r="Q79" s="77">
        <f t="shared" si="7"/>
        <v>1351521.6937400002</v>
      </c>
      <c r="R79" s="77">
        <f t="shared" si="7"/>
        <v>1519313.17924</v>
      </c>
      <c r="S79" s="77">
        <f t="shared" si="7"/>
        <v>1640186.26819</v>
      </c>
      <c r="T79" s="77">
        <f t="shared" si="7"/>
        <v>1862292.55482</v>
      </c>
      <c r="U79" s="77">
        <f>SUM(U12:U78)-U39</f>
        <v>10886028.222130001</v>
      </c>
      <c r="V79" s="16">
        <f t="shared" si="4"/>
        <v>0</v>
      </c>
      <c r="W79" s="16">
        <f>N79+O79-'додаток сесія_2024_2028_161 (2'!O79</f>
        <v>0</v>
      </c>
    </row>
    <row r="80" spans="1:23" s="17" customFormat="1" ht="45" hidden="1" customHeight="1" x14ac:dyDescent="0.2">
      <c r="A80" s="500">
        <v>2</v>
      </c>
      <c r="B80" s="513" t="s">
        <v>92</v>
      </c>
      <c r="C80" s="79" t="s">
        <v>93</v>
      </c>
      <c r="D80" s="29" t="s">
        <v>11</v>
      </c>
      <c r="E80" s="514" t="s">
        <v>94</v>
      </c>
      <c r="F80" s="55" t="s">
        <v>13</v>
      </c>
      <c r="G80" s="15">
        <v>134514.32</v>
      </c>
      <c r="H80" s="15">
        <f>146683.2+8661.9</f>
        <v>155345.1</v>
      </c>
      <c r="I80" s="15">
        <v>209068.1</v>
      </c>
      <c r="J80" s="15">
        <v>224749.2</v>
      </c>
      <c r="K80" s="15">
        <v>310495.3</v>
      </c>
      <c r="L80" s="15">
        <f>24514+5642.2</f>
        <v>30156.2</v>
      </c>
      <c r="M80" s="15">
        <v>0</v>
      </c>
      <c r="N80" s="15">
        <f t="shared" si="5"/>
        <v>1064328.22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f>SUM(G80:T80)-N80</f>
        <v>1064328.22</v>
      </c>
      <c r="V80" s="16">
        <f t="shared" si="4"/>
        <v>0</v>
      </c>
      <c r="W80" s="16">
        <f>N80+O80-'додаток сесія_2024_2028_161 (2'!O80</f>
        <v>0</v>
      </c>
    </row>
    <row r="81" spans="1:23" s="17" customFormat="1" ht="48.75" hidden="1" customHeight="1" x14ac:dyDescent="0.2">
      <c r="A81" s="500"/>
      <c r="B81" s="504"/>
      <c r="C81" s="79" t="s">
        <v>95</v>
      </c>
      <c r="D81" s="35" t="s">
        <v>29</v>
      </c>
      <c r="E81" s="22"/>
      <c r="F81" s="55" t="s">
        <v>13</v>
      </c>
      <c r="G81" s="15">
        <v>3000</v>
      </c>
      <c r="H81" s="15">
        <v>12000</v>
      </c>
      <c r="I81" s="15">
        <v>3745</v>
      </c>
      <c r="J81" s="15">
        <v>8100</v>
      </c>
      <c r="K81" s="15">
        <v>9720</v>
      </c>
      <c r="L81" s="15">
        <f>0+979.5</f>
        <v>979.5</v>
      </c>
      <c r="M81" s="15">
        <v>0</v>
      </c>
      <c r="N81" s="15">
        <f t="shared" si="5"/>
        <v>37544.5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f t="shared" ref="U81:U144" si="8">SUM(G81:T81)-N81</f>
        <v>37544.5</v>
      </c>
      <c r="V81" s="16">
        <f t="shared" si="4"/>
        <v>0</v>
      </c>
      <c r="W81" s="16">
        <f>N81+O81-'додаток сесія_2024_2028_161 (2'!O81</f>
        <v>0</v>
      </c>
    </row>
    <row r="82" spans="1:23" s="17" customFormat="1" ht="44.25" hidden="1" customHeight="1" x14ac:dyDescent="0.2">
      <c r="A82" s="500"/>
      <c r="B82" s="504"/>
      <c r="C82" s="79" t="s">
        <v>96</v>
      </c>
      <c r="D82" s="14" t="s">
        <v>18</v>
      </c>
      <c r="E82" s="18" t="s">
        <v>97</v>
      </c>
      <c r="F82" s="55" t="s">
        <v>13</v>
      </c>
      <c r="G82" s="20">
        <v>0</v>
      </c>
      <c r="H82" s="15">
        <f>498.2+2700</f>
        <v>3198.2</v>
      </c>
      <c r="I82" s="15">
        <v>0</v>
      </c>
      <c r="J82" s="15">
        <v>2200</v>
      </c>
      <c r="K82" s="15">
        <v>5500</v>
      </c>
      <c r="L82" s="15">
        <v>0</v>
      </c>
      <c r="M82" s="15">
        <v>0</v>
      </c>
      <c r="N82" s="15">
        <f t="shared" si="5"/>
        <v>10898.2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f t="shared" si="8"/>
        <v>10898.2</v>
      </c>
      <c r="V82" s="16">
        <f t="shared" si="4"/>
        <v>0</v>
      </c>
      <c r="W82" s="16">
        <f>N82+O82-'додаток сесія_2024_2028_161 (2'!O82</f>
        <v>0</v>
      </c>
    </row>
    <row r="83" spans="1:23" s="17" customFormat="1" ht="45.75" hidden="1" customHeight="1" x14ac:dyDescent="0.2">
      <c r="A83" s="507"/>
      <c r="B83" s="504"/>
      <c r="C83" s="79" t="s">
        <v>98</v>
      </c>
      <c r="D83" s="14" t="s">
        <v>29</v>
      </c>
      <c r="E83" s="18"/>
      <c r="F83" s="55" t="s">
        <v>13</v>
      </c>
      <c r="G83" s="15">
        <v>909</v>
      </c>
      <c r="H83" s="15">
        <v>1500</v>
      </c>
      <c r="I83" s="15">
        <v>1700</v>
      </c>
      <c r="J83" s="15">
        <v>1354.7</v>
      </c>
      <c r="K83" s="15">
        <v>1339.3</v>
      </c>
      <c r="L83" s="15">
        <f>0+564</f>
        <v>564</v>
      </c>
      <c r="M83" s="15">
        <v>0</v>
      </c>
      <c r="N83" s="15">
        <f t="shared" si="5"/>
        <v>7367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f t="shared" si="8"/>
        <v>7367</v>
      </c>
      <c r="V83" s="16">
        <f t="shared" si="4"/>
        <v>0</v>
      </c>
      <c r="W83" s="16">
        <f>N83+O83-'додаток сесія_2024_2028_161 (2'!O83</f>
        <v>0</v>
      </c>
    </row>
    <row r="84" spans="1:23" s="17" customFormat="1" ht="57.75" hidden="1" customHeight="1" x14ac:dyDescent="0.2">
      <c r="A84" s="507"/>
      <c r="B84" s="80"/>
      <c r="C84" s="79" t="s">
        <v>99</v>
      </c>
      <c r="D84" s="14" t="s">
        <v>29</v>
      </c>
      <c r="E84" s="18"/>
      <c r="F84" s="55" t="s">
        <v>13</v>
      </c>
      <c r="G84" s="20">
        <v>0</v>
      </c>
      <c r="H84" s="20">
        <v>0</v>
      </c>
      <c r="I84" s="20">
        <v>0</v>
      </c>
      <c r="J84" s="15">
        <v>12867</v>
      </c>
      <c r="K84" s="20">
        <v>0</v>
      </c>
      <c r="L84" s="20">
        <v>0</v>
      </c>
      <c r="M84" s="20">
        <v>16000</v>
      </c>
      <c r="N84" s="15">
        <f t="shared" si="5"/>
        <v>28867</v>
      </c>
      <c r="O84" s="20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f t="shared" si="8"/>
        <v>28867</v>
      </c>
      <c r="V84" s="16">
        <f t="shared" si="4"/>
        <v>0</v>
      </c>
      <c r="W84" s="16">
        <f>N84+O84-'додаток сесія_2024_2028_161 (2'!O84</f>
        <v>0</v>
      </c>
    </row>
    <row r="85" spans="1:23" s="17" customFormat="1" ht="46.5" hidden="1" customHeight="1" x14ac:dyDescent="0.2">
      <c r="A85" s="66"/>
      <c r="B85" s="469"/>
      <c r="C85" s="79" t="s">
        <v>100</v>
      </c>
      <c r="D85" s="14" t="s">
        <v>29</v>
      </c>
      <c r="E85" s="478"/>
      <c r="F85" s="55" t="s">
        <v>13</v>
      </c>
      <c r="G85" s="20">
        <v>0</v>
      </c>
      <c r="H85" s="15">
        <v>16000</v>
      </c>
      <c r="I85" s="20">
        <v>0</v>
      </c>
      <c r="J85" s="20">
        <v>0</v>
      </c>
      <c r="K85" s="20">
        <v>7218</v>
      </c>
      <c r="L85" s="20">
        <v>20000</v>
      </c>
      <c r="M85" s="20">
        <v>0</v>
      </c>
      <c r="N85" s="15">
        <f t="shared" si="5"/>
        <v>43218</v>
      </c>
      <c r="O85" s="20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f t="shared" si="8"/>
        <v>43218</v>
      </c>
      <c r="V85" s="16">
        <f t="shared" si="4"/>
        <v>0</v>
      </c>
      <c r="W85" s="16">
        <f>N85+O85-'додаток сесія_2024_2028_161 (2'!O85</f>
        <v>0</v>
      </c>
    </row>
    <row r="86" spans="1:23" s="17" customFormat="1" ht="81.75" hidden="1" customHeight="1" x14ac:dyDescent="0.2">
      <c r="A86" s="507"/>
      <c r="B86" s="82"/>
      <c r="C86" s="79" t="s">
        <v>396</v>
      </c>
      <c r="D86" s="13" t="s">
        <v>29</v>
      </c>
      <c r="E86" s="473"/>
      <c r="F86" s="55" t="s">
        <v>13</v>
      </c>
      <c r="G86" s="20">
        <v>0</v>
      </c>
      <c r="H86" s="15">
        <v>6000</v>
      </c>
      <c r="I86" s="20">
        <v>0</v>
      </c>
      <c r="J86" s="20">
        <v>8000</v>
      </c>
      <c r="K86" s="20">
        <v>0</v>
      </c>
      <c r="L86" s="20">
        <v>7042</v>
      </c>
      <c r="M86" s="20">
        <v>0</v>
      </c>
      <c r="N86" s="15">
        <f t="shared" si="5"/>
        <v>21042</v>
      </c>
      <c r="O86" s="20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f t="shared" si="8"/>
        <v>21042</v>
      </c>
      <c r="V86" s="16">
        <f t="shared" si="4"/>
        <v>0</v>
      </c>
      <c r="W86" s="16">
        <f>N86+O86-'додаток сесія_2024_2028_161 (2'!O86</f>
        <v>0</v>
      </c>
    </row>
    <row r="87" spans="1:23" s="17" customFormat="1" ht="42" hidden="1" customHeight="1" x14ac:dyDescent="0.2">
      <c r="A87" s="507"/>
      <c r="B87" s="19"/>
      <c r="C87" s="79" t="s">
        <v>102</v>
      </c>
      <c r="D87" s="23" t="s">
        <v>18</v>
      </c>
      <c r="E87" s="473"/>
      <c r="F87" s="55" t="s">
        <v>13</v>
      </c>
      <c r="G87" s="20">
        <v>0</v>
      </c>
      <c r="H87" s="15">
        <v>143</v>
      </c>
      <c r="I87" s="15">
        <v>195</v>
      </c>
      <c r="J87" s="15">
        <v>105</v>
      </c>
      <c r="K87" s="15">
        <v>105</v>
      </c>
      <c r="L87" s="15">
        <v>0</v>
      </c>
      <c r="M87" s="15">
        <v>0</v>
      </c>
      <c r="N87" s="15">
        <f t="shared" si="5"/>
        <v>548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f t="shared" si="8"/>
        <v>548</v>
      </c>
      <c r="V87" s="16">
        <f t="shared" si="4"/>
        <v>0</v>
      </c>
      <c r="W87" s="16">
        <f>N87+O87-'додаток сесія_2024_2028_161 (2'!O87</f>
        <v>0</v>
      </c>
    </row>
    <row r="88" spans="1:23" s="17" customFormat="1" ht="48.75" hidden="1" customHeight="1" x14ac:dyDescent="0.2">
      <c r="A88" s="507"/>
      <c r="B88" s="82"/>
      <c r="C88" s="79" t="s">
        <v>103</v>
      </c>
      <c r="D88" s="13" t="s">
        <v>18</v>
      </c>
      <c r="E88" s="473"/>
      <c r="F88" s="55" t="s">
        <v>13</v>
      </c>
      <c r="G88" s="20">
        <v>0</v>
      </c>
      <c r="H88" s="15">
        <v>1530.8</v>
      </c>
      <c r="I88" s="15">
        <v>490</v>
      </c>
      <c r="J88" s="15">
        <v>890</v>
      </c>
      <c r="K88" s="15">
        <v>0</v>
      </c>
      <c r="L88" s="15">
        <v>0</v>
      </c>
      <c r="M88" s="15">
        <v>0</v>
      </c>
      <c r="N88" s="15">
        <f t="shared" si="5"/>
        <v>2910.8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f t="shared" si="8"/>
        <v>2910.8</v>
      </c>
      <c r="V88" s="16">
        <f t="shared" si="4"/>
        <v>0</v>
      </c>
      <c r="W88" s="16">
        <f>N88+O88-'додаток сесія_2024_2028_161 (2'!O88</f>
        <v>0</v>
      </c>
    </row>
    <row r="89" spans="1:23" s="17" customFormat="1" ht="44.25" hidden="1" customHeight="1" x14ac:dyDescent="0.2">
      <c r="A89" s="507"/>
      <c r="B89" s="82"/>
      <c r="C89" s="79" t="s">
        <v>104</v>
      </c>
      <c r="D89" s="13" t="s">
        <v>29</v>
      </c>
      <c r="E89" s="473"/>
      <c r="F89" s="55" t="s">
        <v>13</v>
      </c>
      <c r="G89" s="20">
        <v>0</v>
      </c>
      <c r="H89" s="15">
        <v>8085</v>
      </c>
      <c r="I89" s="15">
        <v>290.89999999999998</v>
      </c>
      <c r="J89" s="15">
        <v>7367</v>
      </c>
      <c r="K89" s="15">
        <v>8499.5</v>
      </c>
      <c r="L89" s="15">
        <v>62100</v>
      </c>
      <c r="M89" s="15">
        <v>66000</v>
      </c>
      <c r="N89" s="15">
        <f t="shared" si="5"/>
        <v>152342.39999999999</v>
      </c>
      <c r="O89" s="15">
        <v>72600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f t="shared" si="8"/>
        <v>224942.4</v>
      </c>
      <c r="V89" s="16">
        <f t="shared" si="4"/>
        <v>0</v>
      </c>
      <c r="W89" s="16">
        <f>N89+O89-'додаток сесія_2024_2028_161 (2'!O89</f>
        <v>0</v>
      </c>
    </row>
    <row r="90" spans="1:23" s="17" customFormat="1" ht="43.5" hidden="1" customHeight="1" x14ac:dyDescent="0.2">
      <c r="A90" s="507"/>
      <c r="B90" s="30"/>
      <c r="C90" s="83" t="s">
        <v>105</v>
      </c>
      <c r="D90" s="35" t="s">
        <v>18</v>
      </c>
      <c r="E90" s="18"/>
      <c r="F90" s="55" t="s">
        <v>13</v>
      </c>
      <c r="G90" s="20">
        <v>0</v>
      </c>
      <c r="H90" s="15">
        <f>552+228</f>
        <v>780</v>
      </c>
      <c r="I90" s="15">
        <f>1936+2784</f>
        <v>4720</v>
      </c>
      <c r="J90" s="15">
        <f>1936+2784</f>
        <v>4720</v>
      </c>
      <c r="K90" s="15">
        <v>4720</v>
      </c>
      <c r="L90" s="15">
        <v>0</v>
      </c>
      <c r="M90" s="15">
        <v>0</v>
      </c>
      <c r="N90" s="15">
        <f t="shared" si="5"/>
        <v>14940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f t="shared" si="8"/>
        <v>14940</v>
      </c>
      <c r="V90" s="16">
        <f t="shared" si="4"/>
        <v>0</v>
      </c>
      <c r="W90" s="16">
        <f>N90+O90-'додаток сесія_2024_2028_161 (2'!O90</f>
        <v>0</v>
      </c>
    </row>
    <row r="91" spans="1:23" s="17" customFormat="1" ht="42" hidden="1" customHeight="1" x14ac:dyDescent="0.2">
      <c r="A91" s="506"/>
      <c r="B91" s="84"/>
      <c r="C91" s="85" t="s">
        <v>106</v>
      </c>
      <c r="D91" s="29" t="s">
        <v>18</v>
      </c>
      <c r="E91" s="18"/>
      <c r="F91" s="55" t="s">
        <v>13</v>
      </c>
      <c r="G91" s="20">
        <v>0</v>
      </c>
      <c r="H91" s="15">
        <v>176</v>
      </c>
      <c r="I91" s="15">
        <v>500</v>
      </c>
      <c r="J91" s="15">
        <v>0</v>
      </c>
      <c r="K91" s="15">
        <v>0</v>
      </c>
      <c r="L91" s="15">
        <v>0</v>
      </c>
      <c r="M91" s="15">
        <v>0</v>
      </c>
      <c r="N91" s="15">
        <f t="shared" si="5"/>
        <v>676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f t="shared" si="8"/>
        <v>676</v>
      </c>
      <c r="V91" s="16">
        <f t="shared" si="4"/>
        <v>0</v>
      </c>
      <c r="W91" s="16">
        <f>N91+O91-'додаток сесія_2024_2028_161 (2'!O91</f>
        <v>0</v>
      </c>
    </row>
    <row r="92" spans="1:23" s="17" customFormat="1" ht="72" hidden="1" customHeight="1" x14ac:dyDescent="0.2">
      <c r="A92" s="86"/>
      <c r="B92" s="87"/>
      <c r="C92" s="79" t="s">
        <v>363</v>
      </c>
      <c r="D92" s="14">
        <v>2019</v>
      </c>
      <c r="E92" s="479"/>
      <c r="F92" s="55" t="s">
        <v>13</v>
      </c>
      <c r="G92" s="20">
        <v>0</v>
      </c>
      <c r="H92" s="15">
        <v>0</v>
      </c>
      <c r="I92" s="15">
        <v>0</v>
      </c>
      <c r="J92" s="15">
        <v>240</v>
      </c>
      <c r="K92" s="15">
        <v>0</v>
      </c>
      <c r="L92" s="15">
        <v>0</v>
      </c>
      <c r="M92" s="15">
        <v>0</v>
      </c>
      <c r="N92" s="15">
        <f t="shared" si="5"/>
        <v>240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f t="shared" si="8"/>
        <v>240</v>
      </c>
      <c r="V92" s="16">
        <f t="shared" si="4"/>
        <v>0</v>
      </c>
      <c r="W92" s="16">
        <f>N92+O92-'додаток сесія_2024_2028_161 (2'!O92</f>
        <v>0</v>
      </c>
    </row>
    <row r="93" spans="1:23" s="17" customFormat="1" ht="42.75" hidden="1" customHeight="1" x14ac:dyDescent="0.2">
      <c r="A93" s="506"/>
      <c r="B93" s="84"/>
      <c r="C93" s="79" t="s">
        <v>107</v>
      </c>
      <c r="D93" s="13">
        <v>2020</v>
      </c>
      <c r="E93" s="473"/>
      <c r="F93" s="55" t="s">
        <v>13</v>
      </c>
      <c r="G93" s="20">
        <v>0</v>
      </c>
      <c r="H93" s="15">
        <v>0</v>
      </c>
      <c r="I93" s="15">
        <v>0</v>
      </c>
      <c r="J93" s="15">
        <v>0</v>
      </c>
      <c r="K93" s="15">
        <v>1334.27</v>
      </c>
      <c r="L93" s="15">
        <v>0</v>
      </c>
      <c r="M93" s="15">
        <v>0</v>
      </c>
      <c r="N93" s="15">
        <f t="shared" si="5"/>
        <v>1334.27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f t="shared" si="8"/>
        <v>1334.27</v>
      </c>
      <c r="V93" s="16">
        <f t="shared" si="4"/>
        <v>0</v>
      </c>
      <c r="W93" s="16">
        <f>N93+O93-'додаток сесія_2024_2028_161 (2'!O93</f>
        <v>0</v>
      </c>
    </row>
    <row r="94" spans="1:23" s="17" customFormat="1" ht="42.75" hidden="1" customHeight="1" x14ac:dyDescent="0.2">
      <c r="A94" s="506"/>
      <c r="B94" s="84"/>
      <c r="C94" s="79" t="s">
        <v>108</v>
      </c>
      <c r="D94" s="13" t="s">
        <v>109</v>
      </c>
      <c r="E94" s="473"/>
      <c r="F94" s="55" t="s">
        <v>13</v>
      </c>
      <c r="G94" s="20">
        <v>0</v>
      </c>
      <c r="H94" s="15">
        <v>0</v>
      </c>
      <c r="I94" s="15">
        <v>0</v>
      </c>
      <c r="J94" s="15">
        <v>0</v>
      </c>
      <c r="K94" s="15">
        <v>3500</v>
      </c>
      <c r="L94" s="15">
        <f>4500</f>
        <v>4500</v>
      </c>
      <c r="M94" s="15">
        <f>0+4500</f>
        <v>4500</v>
      </c>
      <c r="N94" s="15">
        <f t="shared" si="5"/>
        <v>12500</v>
      </c>
      <c r="O94" s="15">
        <v>4800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f t="shared" si="8"/>
        <v>17300</v>
      </c>
      <c r="V94" s="16">
        <f t="shared" si="4"/>
        <v>0</v>
      </c>
      <c r="W94" s="16">
        <f>N94+O94-'додаток сесія_2024_2028_161 (2'!O94</f>
        <v>0</v>
      </c>
    </row>
    <row r="95" spans="1:23" s="17" customFormat="1" ht="59.25" hidden="1" customHeight="1" x14ac:dyDescent="0.2">
      <c r="A95" s="506"/>
      <c r="B95" s="329"/>
      <c r="C95" s="79" t="s">
        <v>397</v>
      </c>
      <c r="D95" s="13">
        <v>2019</v>
      </c>
      <c r="E95" s="473"/>
      <c r="F95" s="55" t="s">
        <v>13</v>
      </c>
      <c r="G95" s="20">
        <v>0</v>
      </c>
      <c r="H95" s="15">
        <v>0</v>
      </c>
      <c r="I95" s="15">
        <v>0</v>
      </c>
      <c r="J95" s="15">
        <v>5200</v>
      </c>
      <c r="K95" s="15">
        <v>0</v>
      </c>
      <c r="L95" s="15">
        <v>0</v>
      </c>
      <c r="M95" s="15">
        <v>0</v>
      </c>
      <c r="N95" s="15">
        <f t="shared" si="5"/>
        <v>5200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f t="shared" si="8"/>
        <v>5200</v>
      </c>
      <c r="V95" s="16">
        <f t="shared" si="4"/>
        <v>0</v>
      </c>
      <c r="W95" s="16">
        <f>N95+O95-'додаток сесія_2024_2028_161 (2'!O95</f>
        <v>0</v>
      </c>
    </row>
    <row r="96" spans="1:23" s="17" customFormat="1" ht="71.25" hidden="1" customHeight="1" x14ac:dyDescent="0.2">
      <c r="A96" s="506"/>
      <c r="B96" s="329"/>
      <c r="C96" s="79" t="s">
        <v>111</v>
      </c>
      <c r="D96" s="23" t="s">
        <v>61</v>
      </c>
      <c r="E96" s="473"/>
      <c r="F96" s="55" t="s">
        <v>13</v>
      </c>
      <c r="G96" s="20">
        <v>0</v>
      </c>
      <c r="H96" s="15">
        <v>0</v>
      </c>
      <c r="I96" s="15">
        <v>0</v>
      </c>
      <c r="J96" s="15">
        <v>400</v>
      </c>
      <c r="K96" s="15">
        <v>0</v>
      </c>
      <c r="L96" s="15">
        <v>69.55</v>
      </c>
      <c r="M96" s="15">
        <v>0</v>
      </c>
      <c r="N96" s="15">
        <f t="shared" si="5"/>
        <v>469.55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f t="shared" si="8"/>
        <v>469.55</v>
      </c>
      <c r="V96" s="16">
        <f t="shared" si="4"/>
        <v>0</v>
      </c>
      <c r="W96" s="16">
        <f>N96+O96-'додаток сесія_2024_2028_161 (2'!O96</f>
        <v>0</v>
      </c>
    </row>
    <row r="97" spans="1:23" s="17" customFormat="1" ht="46.5" hidden="1" customHeight="1" x14ac:dyDescent="0.2">
      <c r="A97" s="506"/>
      <c r="B97" s="84"/>
      <c r="C97" s="79" t="s">
        <v>112</v>
      </c>
      <c r="D97" s="13" t="s">
        <v>68</v>
      </c>
      <c r="E97" s="473"/>
      <c r="F97" s="55" t="s">
        <v>13</v>
      </c>
      <c r="G97" s="20">
        <v>0</v>
      </c>
      <c r="H97" s="15">
        <v>0</v>
      </c>
      <c r="I97" s="15">
        <v>0</v>
      </c>
      <c r="J97" s="15">
        <v>30000</v>
      </c>
      <c r="K97" s="15">
        <v>0</v>
      </c>
      <c r="L97" s="15">
        <v>0</v>
      </c>
      <c r="M97" s="15">
        <v>0</v>
      </c>
      <c r="N97" s="15">
        <f t="shared" si="5"/>
        <v>30000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f t="shared" si="8"/>
        <v>30000</v>
      </c>
      <c r="V97" s="16">
        <f t="shared" si="4"/>
        <v>0</v>
      </c>
      <c r="W97" s="16">
        <f>N97+O97-'додаток сесія_2024_2028_161 (2'!O97</f>
        <v>0</v>
      </c>
    </row>
    <row r="98" spans="1:23" s="17" customFormat="1" ht="56.25" hidden="1" customHeight="1" x14ac:dyDescent="0.2">
      <c r="A98" s="500"/>
      <c r="B98" s="30"/>
      <c r="C98" s="79" t="s">
        <v>113</v>
      </c>
      <c r="D98" s="35" t="s">
        <v>61</v>
      </c>
      <c r="E98" s="18"/>
      <c r="F98" s="55" t="s">
        <v>13</v>
      </c>
      <c r="G98" s="20">
        <v>0</v>
      </c>
      <c r="H98" s="15">
        <v>0</v>
      </c>
      <c r="I98" s="15">
        <v>0</v>
      </c>
      <c r="J98" s="15">
        <v>7000</v>
      </c>
      <c r="K98" s="15">
        <v>13389</v>
      </c>
      <c r="L98" s="15">
        <f>0+4455</f>
        <v>4455</v>
      </c>
      <c r="M98" s="15">
        <f>0+2600+2000</f>
        <v>4600</v>
      </c>
      <c r="N98" s="15">
        <f t="shared" si="5"/>
        <v>29444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f t="shared" si="8"/>
        <v>29444</v>
      </c>
      <c r="V98" s="16">
        <f t="shared" si="4"/>
        <v>0</v>
      </c>
      <c r="W98" s="16">
        <f>N98+O98-'додаток сесія_2024_2028_161 (2'!O98</f>
        <v>0</v>
      </c>
    </row>
    <row r="99" spans="1:23" s="17" customFormat="1" ht="71.25" hidden="1" customHeight="1" x14ac:dyDescent="0.2">
      <c r="A99" s="86"/>
      <c r="B99" s="87"/>
      <c r="C99" s="79" t="s">
        <v>398</v>
      </c>
      <c r="D99" s="14" t="s">
        <v>109</v>
      </c>
      <c r="E99" s="18"/>
      <c r="F99" s="55" t="s">
        <v>13</v>
      </c>
      <c r="G99" s="20">
        <v>0</v>
      </c>
      <c r="H99" s="20">
        <v>0</v>
      </c>
      <c r="I99" s="20">
        <v>0</v>
      </c>
      <c r="J99" s="20">
        <v>0</v>
      </c>
      <c r="K99" s="15">
        <v>200</v>
      </c>
      <c r="L99" s="15">
        <v>97.64</v>
      </c>
      <c r="M99" s="15">
        <v>0</v>
      </c>
      <c r="N99" s="15">
        <f t="shared" si="5"/>
        <v>297.64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f t="shared" si="8"/>
        <v>297.64</v>
      </c>
      <c r="V99" s="16">
        <f t="shared" si="4"/>
        <v>0</v>
      </c>
      <c r="W99" s="16">
        <f>N99+O99-'додаток сесія_2024_2028_161 (2'!O99</f>
        <v>0</v>
      </c>
    </row>
    <row r="100" spans="1:23" s="17" customFormat="1" ht="41.25" hidden="1" customHeight="1" x14ac:dyDescent="0.2">
      <c r="A100" s="506"/>
      <c r="B100" s="84"/>
      <c r="C100" s="79" t="s">
        <v>115</v>
      </c>
      <c r="D100" s="13">
        <v>2020</v>
      </c>
      <c r="E100" s="473"/>
      <c r="F100" s="55" t="s">
        <v>13</v>
      </c>
      <c r="G100" s="20">
        <v>0</v>
      </c>
      <c r="H100" s="15">
        <v>0</v>
      </c>
      <c r="I100" s="15">
        <v>0</v>
      </c>
      <c r="J100" s="15">
        <v>0</v>
      </c>
      <c r="K100" s="15">
        <v>50000</v>
      </c>
      <c r="L100" s="15">
        <v>0</v>
      </c>
      <c r="M100" s="15">
        <v>0</v>
      </c>
      <c r="N100" s="15">
        <f t="shared" si="5"/>
        <v>50000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f t="shared" si="8"/>
        <v>50000</v>
      </c>
      <c r="V100" s="16">
        <f t="shared" si="4"/>
        <v>0</v>
      </c>
      <c r="W100" s="16">
        <f>N100+O100-'додаток сесія_2024_2028_161 (2'!O100</f>
        <v>0</v>
      </c>
    </row>
    <row r="101" spans="1:23" s="17" customFormat="1" ht="36" hidden="1" customHeight="1" x14ac:dyDescent="0.2">
      <c r="A101" s="506"/>
      <c r="B101" s="84"/>
      <c r="C101" s="79" t="s">
        <v>116</v>
      </c>
      <c r="D101" s="13">
        <v>2020</v>
      </c>
      <c r="E101" s="473"/>
      <c r="F101" s="55" t="s">
        <v>13</v>
      </c>
      <c r="G101" s="20">
        <v>0</v>
      </c>
      <c r="H101" s="15">
        <v>0</v>
      </c>
      <c r="I101" s="15">
        <v>0</v>
      </c>
      <c r="J101" s="15">
        <v>0</v>
      </c>
      <c r="K101" s="15">
        <v>690</v>
      </c>
      <c r="L101" s="15">
        <v>0</v>
      </c>
      <c r="M101" s="15">
        <v>0</v>
      </c>
      <c r="N101" s="15">
        <f t="shared" si="5"/>
        <v>690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f t="shared" si="8"/>
        <v>690</v>
      </c>
      <c r="V101" s="16">
        <f t="shared" si="4"/>
        <v>0</v>
      </c>
      <c r="W101" s="16">
        <f>N101+O101-'додаток сесія_2024_2028_161 (2'!O101</f>
        <v>0</v>
      </c>
    </row>
    <row r="102" spans="1:23" s="17" customFormat="1" ht="48.75" hidden="1" customHeight="1" x14ac:dyDescent="0.2">
      <c r="A102" s="330"/>
      <c r="B102" s="471"/>
      <c r="C102" s="83" t="s">
        <v>402</v>
      </c>
      <c r="D102" s="23">
        <v>2020</v>
      </c>
      <c r="E102" s="474"/>
      <c r="F102" s="55" t="s">
        <v>13</v>
      </c>
      <c r="G102" s="20">
        <v>0</v>
      </c>
      <c r="H102" s="15">
        <v>0</v>
      </c>
      <c r="I102" s="15">
        <v>0</v>
      </c>
      <c r="J102" s="15">
        <v>0</v>
      </c>
      <c r="K102" s="15">
        <v>900</v>
      </c>
      <c r="L102" s="15">
        <v>0</v>
      </c>
      <c r="M102" s="15">
        <v>0</v>
      </c>
      <c r="N102" s="15">
        <f t="shared" si="5"/>
        <v>900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f t="shared" si="8"/>
        <v>900</v>
      </c>
      <c r="V102" s="16">
        <f t="shared" si="4"/>
        <v>0</v>
      </c>
      <c r="W102" s="16">
        <f>N102+O102-'додаток сесія_2024_2028_161 (2'!O102</f>
        <v>0</v>
      </c>
    </row>
    <row r="103" spans="1:23" s="17" customFormat="1" ht="68.25" hidden="1" customHeight="1" x14ac:dyDescent="0.2">
      <c r="A103" s="88"/>
      <c r="B103" s="89"/>
      <c r="C103" s="85" t="s">
        <v>118</v>
      </c>
      <c r="D103" s="28" t="s">
        <v>109</v>
      </c>
      <c r="E103" s="473"/>
      <c r="F103" s="55" t="s">
        <v>13</v>
      </c>
      <c r="G103" s="20">
        <v>0</v>
      </c>
      <c r="H103" s="15">
        <v>0</v>
      </c>
      <c r="I103" s="15">
        <v>0</v>
      </c>
      <c r="J103" s="15">
        <v>0</v>
      </c>
      <c r="K103" s="15">
        <v>2334.5</v>
      </c>
      <c r="L103" s="15">
        <v>1892.3</v>
      </c>
      <c r="M103" s="15">
        <v>0</v>
      </c>
      <c r="N103" s="15">
        <f t="shared" si="5"/>
        <v>4226.8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f t="shared" si="8"/>
        <v>4226.8</v>
      </c>
      <c r="V103" s="16">
        <f t="shared" si="4"/>
        <v>0</v>
      </c>
      <c r="W103" s="16">
        <f>N103+O103-'додаток сесія_2024_2028_161 (2'!O103</f>
        <v>0</v>
      </c>
    </row>
    <row r="104" spans="1:23" s="17" customFormat="1" ht="41.25" hidden="1" customHeight="1" x14ac:dyDescent="0.2">
      <c r="A104" s="88"/>
      <c r="B104" s="89"/>
      <c r="C104" s="79" t="s">
        <v>119</v>
      </c>
      <c r="D104" s="13" t="s">
        <v>109</v>
      </c>
      <c r="E104" s="503"/>
      <c r="F104" s="55" t="s">
        <v>13</v>
      </c>
      <c r="G104" s="20">
        <v>0</v>
      </c>
      <c r="H104" s="15">
        <v>0</v>
      </c>
      <c r="I104" s="15">
        <v>0</v>
      </c>
      <c r="J104" s="15">
        <v>0</v>
      </c>
      <c r="K104" s="15">
        <v>1168.73</v>
      </c>
      <c r="L104" s="15">
        <f>0+320.8</f>
        <v>320.8</v>
      </c>
      <c r="M104" s="15">
        <v>0</v>
      </c>
      <c r="N104" s="15">
        <f t="shared" si="5"/>
        <v>1489.53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f t="shared" si="8"/>
        <v>1489.53</v>
      </c>
      <c r="V104" s="16">
        <f t="shared" si="4"/>
        <v>0</v>
      </c>
      <c r="W104" s="16">
        <f>N104+O104-'додаток сесія_2024_2028_161 (2'!O104</f>
        <v>0</v>
      </c>
    </row>
    <row r="105" spans="1:23" s="17" customFormat="1" ht="58.5" hidden="1" customHeight="1" x14ac:dyDescent="0.2">
      <c r="A105" s="88"/>
      <c r="B105" s="89"/>
      <c r="C105" s="79" t="s">
        <v>403</v>
      </c>
      <c r="D105" s="13" t="s">
        <v>121</v>
      </c>
      <c r="E105" s="503"/>
      <c r="F105" s="55" t="s">
        <v>13</v>
      </c>
      <c r="G105" s="20">
        <v>0</v>
      </c>
      <c r="H105" s="15">
        <v>0</v>
      </c>
      <c r="I105" s="15">
        <v>0</v>
      </c>
      <c r="J105" s="15">
        <v>0</v>
      </c>
      <c r="K105" s="15">
        <v>500</v>
      </c>
      <c r="L105" s="15">
        <v>500</v>
      </c>
      <c r="M105" s="15">
        <v>0</v>
      </c>
      <c r="N105" s="15">
        <f t="shared" si="5"/>
        <v>1000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f t="shared" si="8"/>
        <v>1000</v>
      </c>
      <c r="V105" s="16">
        <f t="shared" si="4"/>
        <v>0</v>
      </c>
      <c r="W105" s="16">
        <f>N105+O105-'додаток сесія_2024_2028_161 (2'!O105</f>
        <v>0</v>
      </c>
    </row>
    <row r="106" spans="1:23" s="17" customFormat="1" ht="165" hidden="1" customHeight="1" x14ac:dyDescent="0.2">
      <c r="A106" s="516">
        <v>2</v>
      </c>
      <c r="B106" s="515"/>
      <c r="C106" s="79" t="s">
        <v>122</v>
      </c>
      <c r="D106" s="13" t="s">
        <v>73</v>
      </c>
      <c r="E106" s="514" t="s">
        <v>94</v>
      </c>
      <c r="F106" s="55" t="s">
        <v>13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15">
        <v>5200</v>
      </c>
      <c r="M106" s="15">
        <f>2860-2860</f>
        <v>0</v>
      </c>
      <c r="N106" s="15">
        <f t="shared" si="5"/>
        <v>5200</v>
      </c>
      <c r="O106" s="15">
        <v>3150</v>
      </c>
      <c r="P106" s="15">
        <f>5500-2000</f>
        <v>3500</v>
      </c>
      <c r="Q106" s="15">
        <v>0</v>
      </c>
      <c r="R106" s="15">
        <v>5600</v>
      </c>
      <c r="S106" s="15">
        <v>0</v>
      </c>
      <c r="T106" s="15">
        <v>0</v>
      </c>
      <c r="U106" s="15">
        <f t="shared" si="8"/>
        <v>17450</v>
      </c>
      <c r="V106" s="16">
        <f t="shared" si="4"/>
        <v>0</v>
      </c>
      <c r="W106" s="16">
        <f>N106+O106-'додаток сесія_2024_2028_161 (2'!O106</f>
        <v>0</v>
      </c>
    </row>
    <row r="107" spans="1:23" s="17" customFormat="1" ht="48" hidden="1" customHeight="1" x14ac:dyDescent="0.2">
      <c r="A107" s="88"/>
      <c r="B107" s="90"/>
      <c r="C107" s="79" t="s">
        <v>123</v>
      </c>
      <c r="D107" s="23" t="s">
        <v>71</v>
      </c>
      <c r="E107" s="503" t="s">
        <v>124</v>
      </c>
      <c r="F107" s="55" t="s">
        <v>13</v>
      </c>
      <c r="G107" s="20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2300</v>
      </c>
      <c r="M107" s="15">
        <v>0</v>
      </c>
      <c r="N107" s="15">
        <f t="shared" si="5"/>
        <v>2300</v>
      </c>
      <c r="O107" s="15">
        <v>2800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f t="shared" si="8"/>
        <v>5100</v>
      </c>
      <c r="V107" s="16">
        <f t="shared" si="4"/>
        <v>0</v>
      </c>
      <c r="W107" s="16">
        <f>N107+O107-'додаток сесія_2024_2028_161 (2'!O107</f>
        <v>0</v>
      </c>
    </row>
    <row r="108" spans="1:23" s="17" customFormat="1" ht="48.75" hidden="1" customHeight="1" x14ac:dyDescent="0.2">
      <c r="A108" s="88"/>
      <c r="B108" s="89"/>
      <c r="C108" s="79" t="s">
        <v>125</v>
      </c>
      <c r="D108" s="13" t="s">
        <v>71</v>
      </c>
      <c r="E108" s="503"/>
      <c r="F108" s="55" t="s">
        <v>13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15">
        <v>24900</v>
      </c>
      <c r="M108" s="15">
        <f>27309.5-27309.5</f>
        <v>0</v>
      </c>
      <c r="N108" s="15">
        <f t="shared" si="5"/>
        <v>24900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f t="shared" si="8"/>
        <v>24900</v>
      </c>
      <c r="V108" s="16">
        <f t="shared" si="4"/>
        <v>0</v>
      </c>
      <c r="W108" s="16">
        <f>N108+O108-'додаток сесія_2024_2028_161 (2'!O108</f>
        <v>0</v>
      </c>
    </row>
    <row r="109" spans="1:23" s="17" customFormat="1" ht="44.25" hidden="1" customHeight="1" x14ac:dyDescent="0.2">
      <c r="A109" s="88"/>
      <c r="B109" s="89"/>
      <c r="C109" s="79" t="s">
        <v>126</v>
      </c>
      <c r="D109" s="13" t="s">
        <v>71</v>
      </c>
      <c r="E109" s="503"/>
      <c r="F109" s="55" t="s">
        <v>13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15">
        <v>1000</v>
      </c>
      <c r="M109" s="15">
        <v>0</v>
      </c>
      <c r="N109" s="15">
        <f t="shared" si="5"/>
        <v>1000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f t="shared" si="8"/>
        <v>1000</v>
      </c>
      <c r="V109" s="16">
        <f t="shared" si="4"/>
        <v>0</v>
      </c>
      <c r="W109" s="16">
        <f>N109+O109-'додаток сесія_2024_2028_161 (2'!O109</f>
        <v>0</v>
      </c>
    </row>
    <row r="110" spans="1:23" s="17" customFormat="1" ht="48.75" hidden="1" customHeight="1" x14ac:dyDescent="0.2">
      <c r="A110" s="88"/>
      <c r="B110" s="89"/>
      <c r="C110" s="79" t="s">
        <v>127</v>
      </c>
      <c r="D110" s="13" t="s">
        <v>73</v>
      </c>
      <c r="E110" s="503"/>
      <c r="F110" s="55" t="s">
        <v>13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15">
        <v>425000</v>
      </c>
      <c r="M110" s="15">
        <v>510000</v>
      </c>
      <c r="N110" s="15">
        <f t="shared" si="5"/>
        <v>935000</v>
      </c>
      <c r="O110" s="15">
        <f>225000-14520</f>
        <v>210480</v>
      </c>
      <c r="P110" s="15">
        <v>0</v>
      </c>
      <c r="Q110" s="15">
        <v>250000</v>
      </c>
      <c r="R110" s="15">
        <v>264500</v>
      </c>
      <c r="S110" s="15">
        <v>300000</v>
      </c>
      <c r="T110" s="15">
        <v>317400</v>
      </c>
      <c r="U110" s="15">
        <f t="shared" si="8"/>
        <v>2277380</v>
      </c>
      <c r="V110" s="16">
        <f t="shared" si="4"/>
        <v>0</v>
      </c>
      <c r="W110" s="16">
        <f>N110+O110-'додаток сесія_2024_2028_161 (2'!O110</f>
        <v>0</v>
      </c>
    </row>
    <row r="111" spans="1:23" s="17" customFormat="1" ht="46.5" hidden="1" customHeight="1" x14ac:dyDescent="0.2">
      <c r="A111" s="88"/>
      <c r="B111" s="90"/>
      <c r="C111" s="79" t="s">
        <v>128</v>
      </c>
      <c r="D111" s="13" t="s">
        <v>71</v>
      </c>
      <c r="E111" s="503"/>
      <c r="F111" s="55" t="s">
        <v>13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15">
        <v>0</v>
      </c>
      <c r="M111" s="15">
        <v>400</v>
      </c>
      <c r="N111" s="15">
        <f t="shared" si="5"/>
        <v>400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f t="shared" si="8"/>
        <v>400</v>
      </c>
      <c r="V111" s="16">
        <f t="shared" si="4"/>
        <v>0</v>
      </c>
      <c r="W111" s="16">
        <f>N111+O111-'додаток сесія_2024_2028_161 (2'!O111</f>
        <v>0</v>
      </c>
    </row>
    <row r="112" spans="1:23" s="17" customFormat="1" ht="48" hidden="1" customHeight="1" x14ac:dyDescent="0.2">
      <c r="A112" s="88"/>
      <c r="B112" s="89"/>
      <c r="C112" s="79" t="s">
        <v>387</v>
      </c>
      <c r="D112" s="13" t="s">
        <v>71</v>
      </c>
      <c r="E112" s="503"/>
      <c r="F112" s="55" t="s">
        <v>13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15">
        <v>0</v>
      </c>
      <c r="M112" s="15">
        <v>300</v>
      </c>
      <c r="N112" s="15">
        <f t="shared" si="5"/>
        <v>300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f t="shared" si="8"/>
        <v>300</v>
      </c>
      <c r="V112" s="16">
        <f t="shared" si="4"/>
        <v>0</v>
      </c>
      <c r="W112" s="16">
        <f>N112+O112-'додаток сесія_2024_2028_161 (2'!O112</f>
        <v>0</v>
      </c>
    </row>
    <row r="113" spans="1:23" s="17" customFormat="1" ht="47.25" hidden="1" customHeight="1" x14ac:dyDescent="0.2">
      <c r="A113" s="88"/>
      <c r="B113" s="89"/>
      <c r="C113" s="79" t="s">
        <v>390</v>
      </c>
      <c r="D113" s="13" t="s">
        <v>71</v>
      </c>
      <c r="E113" s="503"/>
      <c r="F113" s="55" t="s">
        <v>13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15">
        <v>0</v>
      </c>
      <c r="M113" s="15">
        <v>200</v>
      </c>
      <c r="N113" s="15">
        <f t="shared" si="5"/>
        <v>200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f t="shared" si="8"/>
        <v>200</v>
      </c>
      <c r="V113" s="16">
        <f t="shared" si="4"/>
        <v>0</v>
      </c>
      <c r="W113" s="16">
        <f>N113+O113-'додаток сесія_2024_2028_161 (2'!O113</f>
        <v>0</v>
      </c>
    </row>
    <row r="114" spans="1:23" s="17" customFormat="1" ht="44.25" hidden="1" customHeight="1" x14ac:dyDescent="0.2">
      <c r="A114" s="91"/>
      <c r="B114" s="92"/>
      <c r="C114" s="79" t="s">
        <v>364</v>
      </c>
      <c r="D114" s="93" t="s">
        <v>71</v>
      </c>
      <c r="E114" s="500"/>
      <c r="F114" s="55" t="s">
        <v>13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15">
        <v>0</v>
      </c>
      <c r="M114" s="15">
        <v>120</v>
      </c>
      <c r="N114" s="15">
        <f t="shared" si="5"/>
        <v>120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f t="shared" si="8"/>
        <v>120</v>
      </c>
      <c r="V114" s="16">
        <f t="shared" si="4"/>
        <v>0</v>
      </c>
      <c r="W114" s="16">
        <f>N114+O114-'додаток сесія_2024_2028_161 (2'!O114</f>
        <v>0</v>
      </c>
    </row>
    <row r="115" spans="1:23" s="17" customFormat="1" ht="45.75" hidden="1" customHeight="1" x14ac:dyDescent="0.2">
      <c r="A115" s="91"/>
      <c r="B115" s="92"/>
      <c r="C115" s="79" t="s">
        <v>365</v>
      </c>
      <c r="D115" s="55" t="s">
        <v>71</v>
      </c>
      <c r="E115" s="500"/>
      <c r="F115" s="55" t="s">
        <v>13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15">
        <v>0</v>
      </c>
      <c r="M115" s="15">
        <v>135</v>
      </c>
      <c r="N115" s="15">
        <f t="shared" si="5"/>
        <v>135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f t="shared" si="8"/>
        <v>135</v>
      </c>
      <c r="V115" s="16">
        <f t="shared" si="4"/>
        <v>0</v>
      </c>
      <c r="W115" s="16">
        <f>N115+O115-'додаток сесія_2024_2028_161 (2'!O115</f>
        <v>0</v>
      </c>
    </row>
    <row r="116" spans="1:23" s="17" customFormat="1" ht="48" hidden="1" customHeight="1" x14ac:dyDescent="0.2">
      <c r="A116" s="88"/>
      <c r="B116" s="89"/>
      <c r="C116" s="79" t="s">
        <v>366</v>
      </c>
      <c r="D116" s="13" t="s">
        <v>71</v>
      </c>
      <c r="E116" s="503"/>
      <c r="F116" s="55" t="s">
        <v>13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15">
        <v>0</v>
      </c>
      <c r="M116" s="15">
        <v>150</v>
      </c>
      <c r="N116" s="15">
        <f t="shared" si="5"/>
        <v>150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f t="shared" si="8"/>
        <v>150</v>
      </c>
      <c r="V116" s="16">
        <f t="shared" si="4"/>
        <v>0</v>
      </c>
      <c r="W116" s="16">
        <f>N116+O116-'додаток сесія_2024_2028_161 (2'!O116</f>
        <v>0</v>
      </c>
    </row>
    <row r="117" spans="1:23" s="17" customFormat="1" ht="46.5" hidden="1" customHeight="1" x14ac:dyDescent="0.2">
      <c r="A117" s="94"/>
      <c r="B117" s="92"/>
      <c r="C117" s="83" t="s">
        <v>130</v>
      </c>
      <c r="D117" s="35" t="s">
        <v>71</v>
      </c>
      <c r="E117" s="500"/>
      <c r="F117" s="55" t="s">
        <v>13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15">
        <v>0</v>
      </c>
      <c r="M117" s="15">
        <v>320</v>
      </c>
      <c r="N117" s="15">
        <f t="shared" si="5"/>
        <v>320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f t="shared" si="8"/>
        <v>320</v>
      </c>
      <c r="V117" s="16">
        <f t="shared" si="4"/>
        <v>0</v>
      </c>
      <c r="W117" s="16">
        <f>N117+O117-'додаток сесія_2024_2028_161 (2'!O117</f>
        <v>0</v>
      </c>
    </row>
    <row r="118" spans="1:23" s="17" customFormat="1" ht="56.25" hidden="1" customHeight="1" x14ac:dyDescent="0.2">
      <c r="A118" s="94"/>
      <c r="B118" s="92"/>
      <c r="C118" s="85" t="s">
        <v>131</v>
      </c>
      <c r="D118" s="29" t="s">
        <v>71</v>
      </c>
      <c r="E118" s="500"/>
      <c r="F118" s="55" t="s">
        <v>13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15">
        <v>500</v>
      </c>
      <c r="M118" s="15">
        <v>0</v>
      </c>
      <c r="N118" s="15">
        <f t="shared" si="5"/>
        <v>500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f t="shared" si="8"/>
        <v>500</v>
      </c>
      <c r="V118" s="16">
        <f t="shared" si="4"/>
        <v>0</v>
      </c>
      <c r="W118" s="16">
        <f>N118+O118-'додаток сесія_2024_2028_161 (2'!O118</f>
        <v>0</v>
      </c>
    </row>
    <row r="119" spans="1:23" s="17" customFormat="1" ht="50.25" hidden="1" customHeight="1" x14ac:dyDescent="0.2">
      <c r="A119" s="88"/>
      <c r="B119" s="89"/>
      <c r="C119" s="79" t="s">
        <v>132</v>
      </c>
      <c r="D119" s="13" t="s">
        <v>71</v>
      </c>
      <c r="E119" s="503"/>
      <c r="F119" s="55" t="s">
        <v>13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15">
        <v>0</v>
      </c>
      <c r="M119" s="15">
        <v>500</v>
      </c>
      <c r="N119" s="15">
        <f t="shared" si="5"/>
        <v>500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f t="shared" si="8"/>
        <v>500</v>
      </c>
      <c r="V119" s="16">
        <f t="shared" si="4"/>
        <v>0</v>
      </c>
      <c r="W119" s="16">
        <f>N119+O119-'додаток сесія_2024_2028_161 (2'!O119</f>
        <v>0</v>
      </c>
    </row>
    <row r="120" spans="1:23" s="17" customFormat="1" ht="48" hidden="1" customHeight="1" x14ac:dyDescent="0.2">
      <c r="A120" s="332"/>
      <c r="B120" s="333"/>
      <c r="C120" s="79" t="s">
        <v>133</v>
      </c>
      <c r="D120" s="13" t="s">
        <v>71</v>
      </c>
      <c r="E120" s="476"/>
      <c r="F120" s="55" t="s">
        <v>13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15">
        <v>410</v>
      </c>
      <c r="M120" s="15">
        <v>0</v>
      </c>
      <c r="N120" s="15">
        <f t="shared" si="5"/>
        <v>410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f t="shared" si="8"/>
        <v>410</v>
      </c>
      <c r="V120" s="16">
        <f t="shared" si="4"/>
        <v>0</v>
      </c>
      <c r="W120" s="16">
        <f>N120+O120-'додаток сесія_2024_2028_161 (2'!O120</f>
        <v>0</v>
      </c>
    </row>
    <row r="121" spans="1:23" s="17" customFormat="1" ht="39.75" hidden="1" customHeight="1" x14ac:dyDescent="0.2">
      <c r="A121" s="88"/>
      <c r="B121" s="89"/>
      <c r="C121" s="79" t="s">
        <v>134</v>
      </c>
      <c r="D121" s="13" t="s">
        <v>71</v>
      </c>
      <c r="E121" s="503"/>
      <c r="F121" s="55" t="s">
        <v>13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15">
        <v>0</v>
      </c>
      <c r="M121" s="15">
        <v>0</v>
      </c>
      <c r="N121" s="15">
        <f t="shared" si="5"/>
        <v>0</v>
      </c>
      <c r="O121" s="15">
        <v>15000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f t="shared" si="8"/>
        <v>15000</v>
      </c>
      <c r="V121" s="16">
        <f t="shared" si="4"/>
        <v>0</v>
      </c>
      <c r="W121" s="16">
        <f>N121+O121-'додаток сесія_2024_2028_161 (2'!O121</f>
        <v>0</v>
      </c>
    </row>
    <row r="122" spans="1:23" s="17" customFormat="1" ht="47.25" hidden="1" customHeight="1" x14ac:dyDescent="0.2">
      <c r="A122" s="88"/>
      <c r="B122" s="89"/>
      <c r="C122" s="79" t="s">
        <v>135</v>
      </c>
      <c r="D122" s="13" t="s">
        <v>71</v>
      </c>
      <c r="E122" s="503"/>
      <c r="F122" s="55" t="s">
        <v>13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15">
        <v>0</v>
      </c>
      <c r="M122" s="15">
        <v>0</v>
      </c>
      <c r="N122" s="15">
        <f t="shared" si="5"/>
        <v>0</v>
      </c>
      <c r="O122" s="15">
        <v>3400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f t="shared" si="8"/>
        <v>3400</v>
      </c>
      <c r="V122" s="16">
        <f t="shared" si="4"/>
        <v>0</v>
      </c>
      <c r="W122" s="16">
        <f>N122+O122-'додаток сесія_2024_2028_161 (2'!O122</f>
        <v>0</v>
      </c>
    </row>
    <row r="123" spans="1:23" s="17" customFormat="1" ht="45.75" hidden="1" customHeight="1" x14ac:dyDescent="0.2">
      <c r="A123" s="91"/>
      <c r="B123" s="92"/>
      <c r="C123" s="79" t="s">
        <v>136</v>
      </c>
      <c r="D123" s="13" t="s">
        <v>71</v>
      </c>
      <c r="E123" s="503"/>
      <c r="F123" s="55" t="s">
        <v>13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15">
        <v>0</v>
      </c>
      <c r="M123" s="15">
        <v>0</v>
      </c>
      <c r="N123" s="15">
        <f t="shared" si="5"/>
        <v>0</v>
      </c>
      <c r="O123" s="15">
        <v>1200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f t="shared" si="8"/>
        <v>1200</v>
      </c>
      <c r="V123" s="16">
        <f t="shared" si="4"/>
        <v>0</v>
      </c>
      <c r="W123" s="16">
        <f>N123+O123-'додаток сесія_2024_2028_161 (2'!O123</f>
        <v>0</v>
      </c>
    </row>
    <row r="124" spans="1:23" s="17" customFormat="1" ht="48.75" hidden="1" customHeight="1" x14ac:dyDescent="0.2">
      <c r="A124" s="91"/>
      <c r="B124" s="92"/>
      <c r="C124" s="79" t="s">
        <v>137</v>
      </c>
      <c r="D124" s="13" t="s">
        <v>71</v>
      </c>
      <c r="E124" s="503"/>
      <c r="F124" s="55" t="s">
        <v>13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15">
        <v>0</v>
      </c>
      <c r="M124" s="15">
        <v>1000</v>
      </c>
      <c r="N124" s="15">
        <f t="shared" si="5"/>
        <v>1000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f t="shared" si="8"/>
        <v>1000</v>
      </c>
      <c r="V124" s="16">
        <f t="shared" si="4"/>
        <v>0</v>
      </c>
      <c r="W124" s="16">
        <f>N124+O124-'додаток сесія_2024_2028_161 (2'!O124</f>
        <v>0</v>
      </c>
    </row>
    <row r="125" spans="1:23" s="17" customFormat="1" ht="44.25" hidden="1" customHeight="1" x14ac:dyDescent="0.2">
      <c r="A125" s="91"/>
      <c r="B125" s="92"/>
      <c r="C125" s="79" t="s">
        <v>138</v>
      </c>
      <c r="D125" s="13" t="s">
        <v>71</v>
      </c>
      <c r="E125" s="503"/>
      <c r="F125" s="55" t="s">
        <v>13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15">
        <v>0</v>
      </c>
      <c r="M125" s="15">
        <v>0</v>
      </c>
      <c r="N125" s="15">
        <f t="shared" si="5"/>
        <v>0</v>
      </c>
      <c r="O125" s="15">
        <v>300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f t="shared" si="8"/>
        <v>300</v>
      </c>
      <c r="V125" s="16">
        <f t="shared" si="4"/>
        <v>0</v>
      </c>
      <c r="W125" s="16">
        <f>N125+O125-'додаток сесія_2024_2028_161 (2'!O125</f>
        <v>0</v>
      </c>
    </row>
    <row r="126" spans="1:23" s="17" customFormat="1" ht="48.75" hidden="1" customHeight="1" x14ac:dyDescent="0.2">
      <c r="A126" s="88"/>
      <c r="B126" s="89"/>
      <c r="C126" s="79" t="s">
        <v>139</v>
      </c>
      <c r="D126" s="13" t="s">
        <v>71</v>
      </c>
      <c r="E126" s="503"/>
      <c r="F126" s="55" t="s">
        <v>13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15">
        <v>0</v>
      </c>
      <c r="M126" s="15">
        <v>0</v>
      </c>
      <c r="N126" s="15">
        <f t="shared" si="5"/>
        <v>0</v>
      </c>
      <c r="O126" s="15">
        <v>350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f t="shared" si="8"/>
        <v>350</v>
      </c>
      <c r="V126" s="16">
        <f t="shared" si="4"/>
        <v>0</v>
      </c>
      <c r="W126" s="16">
        <f>N126+O126-'додаток сесія_2024_2028_161 (2'!O126</f>
        <v>0</v>
      </c>
    </row>
    <row r="127" spans="1:23" s="17" customFormat="1" ht="43.5" hidden="1" customHeight="1" x14ac:dyDescent="0.2">
      <c r="A127" s="91"/>
      <c r="B127" s="92"/>
      <c r="C127" s="79" t="s">
        <v>140</v>
      </c>
      <c r="D127" s="35" t="s">
        <v>71</v>
      </c>
      <c r="E127" s="500"/>
      <c r="F127" s="55" t="s">
        <v>13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15">
        <v>0</v>
      </c>
      <c r="M127" s="15">
        <v>0</v>
      </c>
      <c r="N127" s="15">
        <f t="shared" si="5"/>
        <v>0</v>
      </c>
      <c r="O127" s="15">
        <v>400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f t="shared" si="8"/>
        <v>400</v>
      </c>
      <c r="V127" s="16">
        <f t="shared" si="4"/>
        <v>0</v>
      </c>
      <c r="W127" s="16">
        <f>N127+O127-'додаток сесія_2024_2028_161 (2'!O127</f>
        <v>0</v>
      </c>
    </row>
    <row r="128" spans="1:23" s="17" customFormat="1" ht="45.75" hidden="1" customHeight="1" x14ac:dyDescent="0.2">
      <c r="A128" s="88"/>
      <c r="B128" s="89"/>
      <c r="C128" s="79" t="s">
        <v>141</v>
      </c>
      <c r="D128" s="13" t="s">
        <v>71</v>
      </c>
      <c r="E128" s="503"/>
      <c r="F128" s="55" t="s">
        <v>13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15">
        <v>0</v>
      </c>
      <c r="M128" s="15">
        <f>5000-5000</f>
        <v>0</v>
      </c>
      <c r="N128" s="15">
        <f t="shared" si="5"/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f t="shared" si="8"/>
        <v>0</v>
      </c>
      <c r="V128" s="16">
        <f t="shared" si="4"/>
        <v>0</v>
      </c>
      <c r="W128" s="16">
        <f>N128+O128-'додаток сесія_2024_2028_161 (2'!O128</f>
        <v>0</v>
      </c>
    </row>
    <row r="129" spans="1:23" s="17" customFormat="1" ht="39.75" hidden="1" customHeight="1" x14ac:dyDescent="0.2">
      <c r="A129" s="88"/>
      <c r="B129" s="90"/>
      <c r="C129" s="79" t="s">
        <v>142</v>
      </c>
      <c r="D129" s="13" t="s">
        <v>71</v>
      </c>
      <c r="E129" s="503"/>
      <c r="F129" s="55" t="s">
        <v>13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15">
        <v>0</v>
      </c>
      <c r="M129" s="15">
        <v>0</v>
      </c>
      <c r="N129" s="15">
        <f t="shared" si="5"/>
        <v>0</v>
      </c>
      <c r="O129" s="15">
        <v>12000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f t="shared" si="8"/>
        <v>12000</v>
      </c>
      <c r="V129" s="16">
        <f t="shared" si="4"/>
        <v>0</v>
      </c>
      <c r="W129" s="16">
        <f>N129+O129-'додаток сесія_2024_2028_161 (2'!O129</f>
        <v>0</v>
      </c>
    </row>
    <row r="130" spans="1:23" s="17" customFormat="1" ht="50.25" hidden="1" customHeight="1" x14ac:dyDescent="0.2">
      <c r="A130" s="88"/>
      <c r="B130" s="89"/>
      <c r="C130" s="79" t="s">
        <v>143</v>
      </c>
      <c r="D130" s="13" t="s">
        <v>71</v>
      </c>
      <c r="E130" s="503"/>
      <c r="F130" s="55" t="s">
        <v>13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15">
        <v>0</v>
      </c>
      <c r="M130" s="15">
        <f>18000-488.9+99.5</f>
        <v>17610.599999999999</v>
      </c>
      <c r="N130" s="15">
        <f t="shared" si="5"/>
        <v>17610.599999999999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f t="shared" si="8"/>
        <v>17610.599999999999</v>
      </c>
      <c r="V130" s="16">
        <f t="shared" si="4"/>
        <v>0</v>
      </c>
      <c r="W130" s="16">
        <f>N130+O130-'додаток сесія_2024_2028_161 (2'!O130</f>
        <v>0</v>
      </c>
    </row>
    <row r="131" spans="1:23" s="17" customFormat="1" ht="48" hidden="1" customHeight="1" x14ac:dyDescent="0.2">
      <c r="A131" s="88"/>
      <c r="B131" s="89"/>
      <c r="C131" s="79" t="s">
        <v>144</v>
      </c>
      <c r="D131" s="13" t="s">
        <v>71</v>
      </c>
      <c r="E131" s="503"/>
      <c r="F131" s="55" t="s">
        <v>13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15">
        <v>0</v>
      </c>
      <c r="M131" s="15">
        <v>0</v>
      </c>
      <c r="N131" s="15">
        <f t="shared" si="5"/>
        <v>0</v>
      </c>
      <c r="O131" s="15">
        <v>18000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f t="shared" si="8"/>
        <v>18000</v>
      </c>
      <c r="V131" s="16">
        <f t="shared" si="4"/>
        <v>0</v>
      </c>
      <c r="W131" s="16">
        <f>N131+O131-'додаток сесія_2024_2028_161 (2'!O131</f>
        <v>0</v>
      </c>
    </row>
    <row r="132" spans="1:23" s="17" customFormat="1" ht="45.75" hidden="1" customHeight="1" x14ac:dyDescent="0.2">
      <c r="A132" s="88"/>
      <c r="B132" s="89"/>
      <c r="C132" s="79" t="s">
        <v>367</v>
      </c>
      <c r="D132" s="13" t="s">
        <v>71</v>
      </c>
      <c r="E132" s="503"/>
      <c r="F132" s="55" t="s">
        <v>13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15">
        <v>0</v>
      </c>
      <c r="M132" s="15">
        <v>120</v>
      </c>
      <c r="N132" s="15">
        <f t="shared" si="5"/>
        <v>120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f t="shared" si="8"/>
        <v>120</v>
      </c>
      <c r="V132" s="16">
        <f t="shared" si="4"/>
        <v>0</v>
      </c>
      <c r="W132" s="16">
        <f>N132+O132-'додаток сесія_2024_2028_161 (2'!O132</f>
        <v>0</v>
      </c>
    </row>
    <row r="133" spans="1:23" s="17" customFormat="1" ht="51" hidden="1" customHeight="1" x14ac:dyDescent="0.2">
      <c r="A133" s="91"/>
      <c r="B133" s="92"/>
      <c r="C133" s="79" t="s">
        <v>325</v>
      </c>
      <c r="D133" s="93" t="s">
        <v>71</v>
      </c>
      <c r="E133" s="500"/>
      <c r="F133" s="55" t="s">
        <v>13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15">
        <v>0</v>
      </c>
      <c r="M133" s="15">
        <v>135</v>
      </c>
      <c r="N133" s="15">
        <f t="shared" si="5"/>
        <v>135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f t="shared" si="8"/>
        <v>135</v>
      </c>
      <c r="V133" s="16">
        <f t="shared" si="4"/>
        <v>0</v>
      </c>
      <c r="W133" s="16">
        <f>N133+O133-'додаток сесія_2024_2028_161 (2'!O133</f>
        <v>0</v>
      </c>
    </row>
    <row r="134" spans="1:23" s="17" customFormat="1" ht="45.75" hidden="1" customHeight="1" x14ac:dyDescent="0.2">
      <c r="A134" s="91"/>
      <c r="B134" s="92"/>
      <c r="C134" s="79" t="s">
        <v>145</v>
      </c>
      <c r="D134" s="93" t="s">
        <v>71</v>
      </c>
      <c r="E134" s="500"/>
      <c r="F134" s="55" t="s">
        <v>13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15">
        <v>0</v>
      </c>
      <c r="M134" s="15">
        <v>0</v>
      </c>
      <c r="N134" s="15">
        <f t="shared" si="5"/>
        <v>0</v>
      </c>
      <c r="O134" s="15">
        <v>300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f t="shared" si="8"/>
        <v>300</v>
      </c>
      <c r="V134" s="16">
        <f t="shared" si="4"/>
        <v>0</v>
      </c>
      <c r="W134" s="16">
        <f>N134+O134-'додаток сесія_2024_2028_161 (2'!O134</f>
        <v>0</v>
      </c>
    </row>
    <row r="135" spans="1:23" s="17" customFormat="1" ht="48.75" hidden="1" customHeight="1" x14ac:dyDescent="0.2">
      <c r="A135" s="88"/>
      <c r="B135" s="89"/>
      <c r="C135" s="79" t="s">
        <v>368</v>
      </c>
      <c r="D135" s="13" t="s">
        <v>71</v>
      </c>
      <c r="E135" s="503"/>
      <c r="F135" s="55" t="s">
        <v>13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15">
        <v>0</v>
      </c>
      <c r="M135" s="15">
        <v>0</v>
      </c>
      <c r="N135" s="15">
        <f t="shared" si="5"/>
        <v>0</v>
      </c>
      <c r="O135" s="15">
        <v>350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f t="shared" si="8"/>
        <v>350</v>
      </c>
      <c r="V135" s="16">
        <f t="shared" si="4"/>
        <v>0</v>
      </c>
      <c r="W135" s="16">
        <f>N135+O135-'додаток сесія_2024_2028_161 (2'!O135</f>
        <v>0</v>
      </c>
    </row>
    <row r="136" spans="1:23" s="17" customFormat="1" ht="43.5" hidden="1" customHeight="1" x14ac:dyDescent="0.2">
      <c r="A136" s="91"/>
      <c r="B136" s="92"/>
      <c r="C136" s="83" t="s">
        <v>369</v>
      </c>
      <c r="D136" s="35" t="s">
        <v>71</v>
      </c>
      <c r="E136" s="500"/>
      <c r="F136" s="55" t="s">
        <v>13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15">
        <f>700-700</f>
        <v>0</v>
      </c>
      <c r="M136" s="15">
        <f>880</f>
        <v>880</v>
      </c>
      <c r="N136" s="15">
        <f t="shared" si="5"/>
        <v>880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f t="shared" si="8"/>
        <v>880</v>
      </c>
      <c r="V136" s="16">
        <f t="shared" si="4"/>
        <v>0</v>
      </c>
      <c r="W136" s="16">
        <f>N136+O136-'додаток сесія_2024_2028_161 (2'!O136</f>
        <v>0</v>
      </c>
    </row>
    <row r="137" spans="1:23" s="17" customFormat="1" ht="53.25" hidden="1" customHeight="1" x14ac:dyDescent="0.2">
      <c r="A137" s="91"/>
      <c r="B137" s="92"/>
      <c r="C137" s="85" t="s">
        <v>370</v>
      </c>
      <c r="D137" s="29" t="s">
        <v>71</v>
      </c>
      <c r="E137" s="500"/>
      <c r="F137" s="55" t="s">
        <v>13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15">
        <v>0</v>
      </c>
      <c r="M137" s="15">
        <v>1750</v>
      </c>
      <c r="N137" s="15">
        <f t="shared" si="5"/>
        <v>1750</v>
      </c>
      <c r="O137" s="15">
        <v>2200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f t="shared" si="8"/>
        <v>3950</v>
      </c>
      <c r="V137" s="16">
        <f t="shared" si="4"/>
        <v>0</v>
      </c>
      <c r="W137" s="16">
        <f>N137+O137-'додаток сесія_2024_2028_161 (2'!O137</f>
        <v>0</v>
      </c>
    </row>
    <row r="138" spans="1:23" s="17" customFormat="1" ht="48.75" hidden="1" customHeight="1" x14ac:dyDescent="0.2">
      <c r="A138" s="88"/>
      <c r="B138" s="89"/>
      <c r="C138" s="79" t="s">
        <v>146</v>
      </c>
      <c r="D138" s="13" t="s">
        <v>71</v>
      </c>
      <c r="E138" s="503"/>
      <c r="F138" s="55" t="s">
        <v>13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15">
        <v>500</v>
      </c>
      <c r="M138" s="15">
        <v>0</v>
      </c>
      <c r="N138" s="15">
        <f t="shared" si="5"/>
        <v>500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f t="shared" si="8"/>
        <v>500</v>
      </c>
      <c r="V138" s="16">
        <f t="shared" si="4"/>
        <v>0</v>
      </c>
      <c r="W138" s="16">
        <f>N138+O138-'додаток сесія_2024_2028_161 (2'!O138</f>
        <v>0</v>
      </c>
    </row>
    <row r="139" spans="1:23" s="17" customFormat="1" ht="45.75" hidden="1" customHeight="1" x14ac:dyDescent="0.2">
      <c r="A139" s="332"/>
      <c r="B139" s="333"/>
      <c r="C139" s="79" t="s">
        <v>147</v>
      </c>
      <c r="D139" s="13" t="s">
        <v>71</v>
      </c>
      <c r="E139" s="476"/>
      <c r="F139" s="55" t="s">
        <v>13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15">
        <v>0</v>
      </c>
      <c r="M139" s="15">
        <f>2000</f>
        <v>2000</v>
      </c>
      <c r="N139" s="15">
        <f t="shared" si="5"/>
        <v>2000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f t="shared" si="8"/>
        <v>2000</v>
      </c>
      <c r="V139" s="16">
        <f t="shared" si="4"/>
        <v>0</v>
      </c>
      <c r="W139" s="16">
        <f>N139+O139-'додаток сесія_2024_2028_161 (2'!O139</f>
        <v>0</v>
      </c>
    </row>
    <row r="140" spans="1:23" s="17" customFormat="1" ht="49.5" hidden="1" customHeight="1" x14ac:dyDescent="0.2">
      <c r="A140" s="88"/>
      <c r="B140" s="89"/>
      <c r="C140" s="79" t="s">
        <v>148</v>
      </c>
      <c r="D140" s="13" t="s">
        <v>73</v>
      </c>
      <c r="E140" s="503"/>
      <c r="F140" s="55" t="s">
        <v>13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15">
        <v>20000</v>
      </c>
      <c r="M140" s="15">
        <f>22000+28000</f>
        <v>50000</v>
      </c>
      <c r="N140" s="15">
        <f t="shared" si="5"/>
        <v>70000</v>
      </c>
      <c r="O140" s="15">
        <f>24200+265.6</f>
        <v>24465.599999999999</v>
      </c>
      <c r="P140" s="15">
        <v>33993</v>
      </c>
      <c r="Q140" s="15">
        <v>36372.51</v>
      </c>
      <c r="R140" s="15">
        <v>38482.115580000005</v>
      </c>
      <c r="S140" s="15">
        <v>40714.07828364001</v>
      </c>
      <c r="T140" s="15">
        <v>43075.494824091133</v>
      </c>
      <c r="U140" s="15">
        <f t="shared" si="8"/>
        <v>287102.79868773121</v>
      </c>
      <c r="V140" s="16">
        <f t="shared" ref="V140:V203" si="9">G140+H140+I140+J140+K140+L140+M140+O140+P140+Q140+R140+S140+T140-U140</f>
        <v>0</v>
      </c>
      <c r="W140" s="16">
        <f>N140+O140-'додаток сесія_2024_2028_161 (2'!O140</f>
        <v>0</v>
      </c>
    </row>
    <row r="141" spans="1:23" s="17" customFormat="1" ht="42.75" hidden="1" customHeight="1" x14ac:dyDescent="0.2">
      <c r="A141" s="88"/>
      <c r="B141" s="89"/>
      <c r="C141" s="79" t="s">
        <v>149</v>
      </c>
      <c r="D141" s="13" t="s">
        <v>71</v>
      </c>
      <c r="E141" s="503"/>
      <c r="F141" s="55" t="s">
        <v>13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15">
        <f>4000+349.7-4349.7</f>
        <v>0</v>
      </c>
      <c r="M141" s="15">
        <f>0+4349.7</f>
        <v>4349.7</v>
      </c>
      <c r="N141" s="15">
        <f t="shared" ref="N141:N204" si="10">G141+H141+I141+J141+K141+L141+M141</f>
        <v>4349.7</v>
      </c>
      <c r="O141" s="15">
        <f>2100-2100</f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f t="shared" si="8"/>
        <v>4349.7</v>
      </c>
      <c r="V141" s="16">
        <f t="shared" si="9"/>
        <v>0</v>
      </c>
      <c r="W141" s="16">
        <f>N141+O141-'додаток сесія_2024_2028_161 (2'!O141</f>
        <v>0</v>
      </c>
    </row>
    <row r="142" spans="1:23" s="17" customFormat="1" ht="43.5" hidden="1" customHeight="1" x14ac:dyDescent="0.2">
      <c r="A142" s="88"/>
      <c r="B142" s="89"/>
      <c r="C142" s="79" t="s">
        <v>150</v>
      </c>
      <c r="D142" s="13" t="s">
        <v>71</v>
      </c>
      <c r="E142" s="503"/>
      <c r="F142" s="55" t="s">
        <v>13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15">
        <v>4500</v>
      </c>
      <c r="M142" s="15">
        <f>5000-5000</f>
        <v>0</v>
      </c>
      <c r="N142" s="15">
        <f t="shared" si="10"/>
        <v>4500</v>
      </c>
      <c r="O142" s="15">
        <v>5500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f t="shared" si="8"/>
        <v>10000</v>
      </c>
      <c r="V142" s="16">
        <f t="shared" si="9"/>
        <v>0</v>
      </c>
      <c r="W142" s="16">
        <f>N142+O142-'додаток сесія_2024_2028_161 (2'!O142</f>
        <v>0</v>
      </c>
    </row>
    <row r="143" spans="1:23" s="17" customFormat="1" ht="45" hidden="1" customHeight="1" x14ac:dyDescent="0.2">
      <c r="A143" s="88"/>
      <c r="B143" s="89"/>
      <c r="C143" s="79" t="s">
        <v>151</v>
      </c>
      <c r="D143" s="13" t="s">
        <v>71</v>
      </c>
      <c r="E143" s="503"/>
      <c r="F143" s="55" t="s">
        <v>13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15">
        <f>4000-349.7</f>
        <v>3650.3</v>
      </c>
      <c r="M143" s="15">
        <v>0</v>
      </c>
      <c r="N143" s="15">
        <f t="shared" si="10"/>
        <v>3650.3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f t="shared" si="8"/>
        <v>3650.3</v>
      </c>
      <c r="V143" s="16">
        <f t="shared" si="9"/>
        <v>0</v>
      </c>
      <c r="W143" s="16">
        <f>N143+O143-'додаток сесія_2024_2028_161 (2'!O143</f>
        <v>0</v>
      </c>
    </row>
    <row r="144" spans="1:23" s="17" customFormat="1" ht="43.5" hidden="1" customHeight="1" x14ac:dyDescent="0.2">
      <c r="A144" s="88"/>
      <c r="B144" s="89"/>
      <c r="C144" s="79" t="s">
        <v>152</v>
      </c>
      <c r="D144" s="13" t="s">
        <v>73</v>
      </c>
      <c r="E144" s="503"/>
      <c r="F144" s="55" t="s">
        <v>13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15">
        <v>0</v>
      </c>
      <c r="M144" s="15">
        <f>2500</f>
        <v>2500</v>
      </c>
      <c r="N144" s="15">
        <f t="shared" si="10"/>
        <v>2500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7800</v>
      </c>
      <c r="U144" s="15">
        <f t="shared" si="8"/>
        <v>10300</v>
      </c>
      <c r="V144" s="16">
        <f t="shared" si="9"/>
        <v>0</v>
      </c>
      <c r="W144" s="16">
        <f>N144+O144-'додаток сесія_2024_2028_161 (2'!O144</f>
        <v>0</v>
      </c>
    </row>
    <row r="145" spans="1:23" s="17" customFormat="1" ht="50.25" hidden="1" customHeight="1" x14ac:dyDescent="0.2">
      <c r="A145" s="88"/>
      <c r="B145" s="89"/>
      <c r="C145" s="79" t="s">
        <v>153</v>
      </c>
      <c r="D145" s="13" t="s">
        <v>73</v>
      </c>
      <c r="E145" s="503"/>
      <c r="F145" s="55" t="s">
        <v>13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15">
        <v>2500</v>
      </c>
      <c r="M145" s="15">
        <v>2750</v>
      </c>
      <c r="N145" s="15">
        <f t="shared" si="10"/>
        <v>5250</v>
      </c>
      <c r="O145" s="15">
        <f>2900+2100-500</f>
        <v>4500</v>
      </c>
      <c r="P145" s="15">
        <v>6500</v>
      </c>
      <c r="Q145" s="15">
        <v>0</v>
      </c>
      <c r="R145" s="15">
        <v>7100</v>
      </c>
      <c r="S145" s="15">
        <v>0</v>
      </c>
      <c r="T145" s="15">
        <v>0</v>
      </c>
      <c r="U145" s="15">
        <f t="shared" ref="U145:U208" si="11">SUM(G145:T145)-N145</f>
        <v>23350</v>
      </c>
      <c r="V145" s="16">
        <f t="shared" si="9"/>
        <v>0</v>
      </c>
      <c r="W145" s="16">
        <f>N145+O145-'додаток сесія_2024_2028_161 (2'!O145</f>
        <v>0</v>
      </c>
    </row>
    <row r="146" spans="1:23" s="17" customFormat="1" ht="48" hidden="1" customHeight="1" x14ac:dyDescent="0.2">
      <c r="A146" s="94"/>
      <c r="B146" s="92"/>
      <c r="C146" s="79" t="s">
        <v>154</v>
      </c>
      <c r="D146" s="35" t="s">
        <v>71</v>
      </c>
      <c r="E146" s="500"/>
      <c r="F146" s="55" t="s">
        <v>13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15">
        <v>900</v>
      </c>
      <c r="M146" s="15">
        <v>0</v>
      </c>
      <c r="N146" s="15">
        <f t="shared" si="10"/>
        <v>900</v>
      </c>
      <c r="O146" s="15">
        <v>1100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f t="shared" si="11"/>
        <v>2000</v>
      </c>
      <c r="V146" s="16">
        <f t="shared" si="9"/>
        <v>0</v>
      </c>
      <c r="W146" s="16">
        <f>N146+O146-'додаток сесія_2024_2028_161 (2'!O146</f>
        <v>0</v>
      </c>
    </row>
    <row r="147" spans="1:23" s="17" customFormat="1" ht="45" hidden="1" customHeight="1" x14ac:dyDescent="0.2">
      <c r="A147" s="94"/>
      <c r="B147" s="92"/>
      <c r="C147" s="79" t="s">
        <v>155</v>
      </c>
      <c r="D147" s="14" t="s">
        <v>71</v>
      </c>
      <c r="E147" s="500"/>
      <c r="F147" s="55" t="s">
        <v>13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15">
        <v>300</v>
      </c>
      <c r="M147" s="15">
        <f>330-330</f>
        <v>0</v>
      </c>
      <c r="N147" s="15">
        <f t="shared" si="10"/>
        <v>300</v>
      </c>
      <c r="O147" s="15">
        <f>370-265.6</f>
        <v>104.39999999999998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f t="shared" si="11"/>
        <v>404.4</v>
      </c>
      <c r="V147" s="16">
        <f t="shared" si="9"/>
        <v>0</v>
      </c>
      <c r="W147" s="16">
        <f>N147+O147-'додаток сесія_2024_2028_161 (2'!O147</f>
        <v>0</v>
      </c>
    </row>
    <row r="148" spans="1:23" s="17" customFormat="1" ht="39.75" hidden="1" customHeight="1" x14ac:dyDescent="0.2">
      <c r="A148" s="88"/>
      <c r="B148" s="89"/>
      <c r="C148" s="79" t="s">
        <v>156</v>
      </c>
      <c r="D148" s="13" t="s">
        <v>73</v>
      </c>
      <c r="E148" s="503"/>
      <c r="F148" s="55" t="s">
        <v>13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15">
        <v>0</v>
      </c>
      <c r="M148" s="15">
        <v>0</v>
      </c>
      <c r="N148" s="15">
        <f t="shared" si="10"/>
        <v>0</v>
      </c>
      <c r="O148" s="15">
        <v>4000</v>
      </c>
      <c r="P148" s="15">
        <v>0</v>
      </c>
      <c r="Q148" s="15">
        <v>0</v>
      </c>
      <c r="R148" s="15">
        <v>0</v>
      </c>
      <c r="S148" s="15">
        <v>6157</v>
      </c>
      <c r="T148" s="15">
        <v>0</v>
      </c>
      <c r="U148" s="15">
        <f t="shared" si="11"/>
        <v>10157</v>
      </c>
      <c r="V148" s="16">
        <f t="shared" si="9"/>
        <v>0</v>
      </c>
      <c r="W148" s="16">
        <f>N148+O148-'додаток сесія_2024_2028_161 (2'!O148</f>
        <v>0</v>
      </c>
    </row>
    <row r="149" spans="1:23" s="17" customFormat="1" ht="57.75" hidden="1" customHeight="1" x14ac:dyDescent="0.2">
      <c r="A149" s="88"/>
      <c r="B149" s="89"/>
      <c r="C149" s="79" t="s">
        <v>157</v>
      </c>
      <c r="D149" s="13" t="s">
        <v>73</v>
      </c>
      <c r="E149" s="503"/>
      <c r="F149" s="55" t="s">
        <v>13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15">
        <v>0</v>
      </c>
      <c r="M149" s="15">
        <f>7000-2000</f>
        <v>5000</v>
      </c>
      <c r="N149" s="15">
        <f t="shared" si="10"/>
        <v>5000</v>
      </c>
      <c r="O149" s="15">
        <v>7700</v>
      </c>
      <c r="P149" s="15">
        <v>0</v>
      </c>
      <c r="Q149" s="15">
        <v>0</v>
      </c>
      <c r="R149" s="15">
        <v>0</v>
      </c>
      <c r="S149" s="15">
        <v>9500</v>
      </c>
      <c r="T149" s="15">
        <v>0</v>
      </c>
      <c r="U149" s="15">
        <f t="shared" si="11"/>
        <v>22200</v>
      </c>
      <c r="V149" s="16">
        <f t="shared" si="9"/>
        <v>0</v>
      </c>
      <c r="W149" s="16">
        <f>N149+O149-'додаток сесія_2024_2028_161 (2'!O149</f>
        <v>0</v>
      </c>
    </row>
    <row r="150" spans="1:23" s="17" customFormat="1" ht="41.25" hidden="1" customHeight="1" x14ac:dyDescent="0.2">
      <c r="A150" s="88"/>
      <c r="B150" s="89"/>
      <c r="C150" s="79" t="s">
        <v>158</v>
      </c>
      <c r="D150" s="13" t="s">
        <v>71</v>
      </c>
      <c r="E150" s="503"/>
      <c r="F150" s="55" t="s">
        <v>13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15">
        <f>5000-2397</f>
        <v>2603</v>
      </c>
      <c r="M150" s="15">
        <f>5500</f>
        <v>5500</v>
      </c>
      <c r="N150" s="15">
        <f t="shared" si="10"/>
        <v>8103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f t="shared" si="11"/>
        <v>8103</v>
      </c>
      <c r="V150" s="16">
        <f t="shared" si="9"/>
        <v>0</v>
      </c>
      <c r="W150" s="16">
        <f>N150+O150-'додаток сесія_2024_2028_161 (2'!O150</f>
        <v>0</v>
      </c>
    </row>
    <row r="151" spans="1:23" s="17" customFormat="1" ht="54" hidden="1" customHeight="1" x14ac:dyDescent="0.2">
      <c r="A151" s="88"/>
      <c r="B151" s="89"/>
      <c r="C151" s="79" t="s">
        <v>159</v>
      </c>
      <c r="D151" s="13" t="s">
        <v>73</v>
      </c>
      <c r="E151" s="503"/>
      <c r="F151" s="55" t="s">
        <v>13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15">
        <v>65000</v>
      </c>
      <c r="M151" s="15">
        <v>0</v>
      </c>
      <c r="N151" s="15">
        <f t="shared" si="10"/>
        <v>65000</v>
      </c>
      <c r="O151" s="15">
        <v>0</v>
      </c>
      <c r="P151" s="15">
        <v>0</v>
      </c>
      <c r="Q151" s="15">
        <v>212000</v>
      </c>
      <c r="R151" s="15">
        <v>0</v>
      </c>
      <c r="S151" s="15">
        <v>0</v>
      </c>
      <c r="T151" s="15">
        <v>0</v>
      </c>
      <c r="U151" s="15">
        <f t="shared" si="11"/>
        <v>277000</v>
      </c>
      <c r="V151" s="16">
        <f t="shared" si="9"/>
        <v>0</v>
      </c>
      <c r="W151" s="16">
        <f>N151+O151-'додаток сесія_2024_2028_161 (2'!O151</f>
        <v>0</v>
      </c>
    </row>
    <row r="152" spans="1:23" s="17" customFormat="1" ht="46.5" hidden="1" customHeight="1" x14ac:dyDescent="0.2">
      <c r="A152" s="88"/>
      <c r="B152" s="89"/>
      <c r="C152" s="79" t="s">
        <v>371</v>
      </c>
      <c r="D152" s="13" t="s">
        <v>73</v>
      </c>
      <c r="E152" s="503"/>
      <c r="F152" s="55" t="s">
        <v>13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15">
        <v>0</v>
      </c>
      <c r="M152" s="15">
        <f>7700-7700</f>
        <v>0</v>
      </c>
      <c r="N152" s="15">
        <f t="shared" si="10"/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16300</v>
      </c>
      <c r="U152" s="15">
        <f t="shared" si="11"/>
        <v>16300</v>
      </c>
      <c r="V152" s="16">
        <f t="shared" si="9"/>
        <v>0</v>
      </c>
      <c r="W152" s="16">
        <f>N152+O152-'додаток сесія_2024_2028_161 (2'!O152</f>
        <v>0</v>
      </c>
    </row>
    <row r="153" spans="1:23" s="17" customFormat="1" ht="44.25" hidden="1" customHeight="1" x14ac:dyDescent="0.2">
      <c r="A153" s="88"/>
      <c r="B153" s="90"/>
      <c r="C153" s="83" t="s">
        <v>160</v>
      </c>
      <c r="D153" s="23" t="s">
        <v>73</v>
      </c>
      <c r="E153" s="503"/>
      <c r="F153" s="55" t="s">
        <v>13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15">
        <v>0</v>
      </c>
      <c r="M153" s="15">
        <v>0</v>
      </c>
      <c r="N153" s="15">
        <f t="shared" si="10"/>
        <v>0</v>
      </c>
      <c r="O153" s="15">
        <v>8500</v>
      </c>
      <c r="P153" s="15">
        <v>0</v>
      </c>
      <c r="Q153" s="15">
        <v>0</v>
      </c>
      <c r="R153" s="15">
        <v>0</v>
      </c>
      <c r="S153" s="15">
        <v>3860</v>
      </c>
      <c r="T153" s="15">
        <v>0</v>
      </c>
      <c r="U153" s="15">
        <f t="shared" si="11"/>
        <v>12360</v>
      </c>
      <c r="V153" s="16">
        <f t="shared" si="9"/>
        <v>0</v>
      </c>
      <c r="W153" s="16">
        <f>N153+O153-'додаток сесія_2024_2028_161 (2'!O153</f>
        <v>0</v>
      </c>
    </row>
    <row r="154" spans="1:23" s="17" customFormat="1" ht="69" hidden="1" customHeight="1" x14ac:dyDescent="0.2">
      <c r="A154" s="88"/>
      <c r="B154" s="89"/>
      <c r="C154" s="85" t="s">
        <v>391</v>
      </c>
      <c r="D154" s="28" t="s">
        <v>71</v>
      </c>
      <c r="E154" s="503"/>
      <c r="F154" s="55" t="s">
        <v>13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15">
        <v>78600</v>
      </c>
      <c r="M154" s="15">
        <v>78400</v>
      </c>
      <c r="N154" s="15">
        <f t="shared" si="10"/>
        <v>157000</v>
      </c>
      <c r="O154" s="15">
        <v>78500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f t="shared" si="11"/>
        <v>235500</v>
      </c>
      <c r="V154" s="16">
        <f t="shared" si="9"/>
        <v>0</v>
      </c>
      <c r="W154" s="16">
        <f>N154+O154-'додаток сесія_2024_2028_161 (2'!O154</f>
        <v>0</v>
      </c>
    </row>
    <row r="155" spans="1:23" s="17" customFormat="1" ht="46.5" hidden="1" customHeight="1" x14ac:dyDescent="0.2">
      <c r="A155" s="91"/>
      <c r="B155" s="92"/>
      <c r="C155" s="79" t="s">
        <v>161</v>
      </c>
      <c r="D155" s="13" t="s">
        <v>71</v>
      </c>
      <c r="E155" s="503"/>
      <c r="F155" s="55" t="s">
        <v>13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15">
        <v>46839</v>
      </c>
      <c r="M155" s="15">
        <v>52023</v>
      </c>
      <c r="N155" s="15">
        <f t="shared" si="10"/>
        <v>98862</v>
      </c>
      <c r="O155" s="15">
        <v>100985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f t="shared" si="11"/>
        <v>199847</v>
      </c>
      <c r="V155" s="16">
        <f t="shared" si="9"/>
        <v>0</v>
      </c>
      <c r="W155" s="16">
        <f>N155+O155-'додаток сесія_2024_2028_161 (2'!O155</f>
        <v>0</v>
      </c>
    </row>
    <row r="156" spans="1:23" s="17" customFormat="1" ht="51.75" hidden="1" customHeight="1" x14ac:dyDescent="0.2">
      <c r="A156" s="91"/>
      <c r="B156" s="92"/>
      <c r="C156" s="79" t="s">
        <v>162</v>
      </c>
      <c r="D156" s="14" t="s">
        <v>73</v>
      </c>
      <c r="E156" s="500"/>
      <c r="F156" s="55" t="s">
        <v>13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15">
        <v>487872.01</v>
      </c>
      <c r="M156" s="15">
        <f>565781.7-700</f>
        <v>565081.69999999995</v>
      </c>
      <c r="N156" s="15">
        <f t="shared" si="10"/>
        <v>1052953.71</v>
      </c>
      <c r="O156" s="15">
        <v>606173.69999999995</v>
      </c>
      <c r="P156" s="15">
        <v>715064.5</v>
      </c>
      <c r="Q156" s="15">
        <v>777154.5</v>
      </c>
      <c r="R156" s="15">
        <v>837218.4</v>
      </c>
      <c r="S156" s="15">
        <v>902652.4</v>
      </c>
      <c r="T156" s="15">
        <v>973021.7</v>
      </c>
      <c r="U156" s="15">
        <f t="shared" si="11"/>
        <v>5864238.9100000011</v>
      </c>
      <c r="V156" s="16">
        <f t="shared" si="9"/>
        <v>0</v>
      </c>
      <c r="W156" s="16">
        <f>N156+O156-'додаток сесія_2024_2028_161 (2'!O156</f>
        <v>0</v>
      </c>
    </row>
    <row r="157" spans="1:23" s="17" customFormat="1" ht="47.25" hidden="1" customHeight="1" x14ac:dyDescent="0.2">
      <c r="A157" s="91"/>
      <c r="B157" s="92"/>
      <c r="C157" s="79" t="s">
        <v>346</v>
      </c>
      <c r="D157" s="95">
        <v>2021</v>
      </c>
      <c r="E157" s="473"/>
      <c r="F157" s="55" t="s">
        <v>13</v>
      </c>
      <c r="G157" s="20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241.5</v>
      </c>
      <c r="M157" s="15">
        <v>0</v>
      </c>
      <c r="N157" s="15">
        <f t="shared" si="10"/>
        <v>241.5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f t="shared" si="11"/>
        <v>241.5</v>
      </c>
      <c r="V157" s="16">
        <f t="shared" si="9"/>
        <v>0</v>
      </c>
      <c r="W157" s="16">
        <f>N157+O157-'додаток сесія_2024_2028_161 (2'!O157</f>
        <v>0</v>
      </c>
    </row>
    <row r="158" spans="1:23" s="17" customFormat="1" ht="42" hidden="1" customHeight="1" x14ac:dyDescent="0.2">
      <c r="A158" s="336"/>
      <c r="B158" s="335"/>
      <c r="C158" s="79" t="s">
        <v>373</v>
      </c>
      <c r="D158" s="95">
        <v>2021</v>
      </c>
      <c r="E158" s="474"/>
      <c r="F158" s="55" t="s">
        <v>13</v>
      </c>
      <c r="G158" s="20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f>0+400</f>
        <v>400</v>
      </c>
      <c r="M158" s="15">
        <v>0</v>
      </c>
      <c r="N158" s="15">
        <f t="shared" si="10"/>
        <v>400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f t="shared" si="11"/>
        <v>400</v>
      </c>
      <c r="V158" s="16">
        <f t="shared" si="9"/>
        <v>0</v>
      </c>
      <c r="W158" s="16">
        <f>N158+O158-'додаток сесія_2024_2028_161 (2'!O158</f>
        <v>0</v>
      </c>
    </row>
    <row r="159" spans="1:23" s="17" customFormat="1" ht="44.25" hidden="1" customHeight="1" x14ac:dyDescent="0.2">
      <c r="A159" s="91"/>
      <c r="B159" s="92"/>
      <c r="C159" s="79" t="s">
        <v>164</v>
      </c>
      <c r="D159" s="95">
        <v>2021</v>
      </c>
      <c r="E159" s="473"/>
      <c r="F159" s="55" t="s">
        <v>13</v>
      </c>
      <c r="G159" s="20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f>0+300</f>
        <v>300</v>
      </c>
      <c r="M159" s="15">
        <v>0</v>
      </c>
      <c r="N159" s="15">
        <f t="shared" si="10"/>
        <v>300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f t="shared" si="11"/>
        <v>300</v>
      </c>
      <c r="V159" s="16">
        <f t="shared" si="9"/>
        <v>0</v>
      </c>
      <c r="W159" s="16">
        <f>N159+O159-'додаток сесія_2024_2028_161 (2'!O159</f>
        <v>0</v>
      </c>
    </row>
    <row r="160" spans="1:23" s="17" customFormat="1" ht="47.25" hidden="1" customHeight="1" x14ac:dyDescent="0.2">
      <c r="A160" s="91"/>
      <c r="B160" s="92"/>
      <c r="C160" s="79" t="s">
        <v>349</v>
      </c>
      <c r="D160" s="95">
        <v>2021</v>
      </c>
      <c r="E160" s="473"/>
      <c r="F160" s="55" t="s">
        <v>13</v>
      </c>
      <c r="G160" s="20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2397</v>
      </c>
      <c r="M160" s="15">
        <v>0</v>
      </c>
      <c r="N160" s="15">
        <f t="shared" si="10"/>
        <v>2397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f t="shared" si="11"/>
        <v>2397</v>
      </c>
      <c r="V160" s="16">
        <f t="shared" si="9"/>
        <v>0</v>
      </c>
      <c r="W160" s="16">
        <f>N160+O160-'додаток сесія_2024_2028_161 (2'!O160</f>
        <v>0</v>
      </c>
    </row>
    <row r="161" spans="1:23" s="17" customFormat="1" ht="39" hidden="1" customHeight="1" x14ac:dyDescent="0.2">
      <c r="A161" s="91"/>
      <c r="B161" s="92"/>
      <c r="C161" s="79" t="s">
        <v>166</v>
      </c>
      <c r="D161" s="67">
        <v>2022</v>
      </c>
      <c r="E161" s="18"/>
      <c r="F161" s="55" t="s">
        <v>13</v>
      </c>
      <c r="G161" s="20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2500</v>
      </c>
      <c r="N161" s="15">
        <f t="shared" si="10"/>
        <v>2500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f t="shared" si="11"/>
        <v>2500</v>
      </c>
      <c r="V161" s="16">
        <f t="shared" si="9"/>
        <v>0</v>
      </c>
      <c r="W161" s="16">
        <f>N161+O161-'додаток сесія_2024_2028_161 (2'!O161</f>
        <v>0</v>
      </c>
    </row>
    <row r="162" spans="1:23" s="17" customFormat="1" ht="49.5" hidden="1" customHeight="1" x14ac:dyDescent="0.2">
      <c r="A162" s="91"/>
      <c r="B162" s="92"/>
      <c r="C162" s="79" t="s">
        <v>167</v>
      </c>
      <c r="D162" s="38" t="s">
        <v>73</v>
      </c>
      <c r="E162" s="18"/>
      <c r="F162" s="55" t="s">
        <v>13</v>
      </c>
      <c r="G162" s="20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6400</v>
      </c>
      <c r="N162" s="15">
        <f t="shared" si="10"/>
        <v>6400</v>
      </c>
      <c r="O162" s="15">
        <v>0</v>
      </c>
      <c r="P162" s="15">
        <v>0</v>
      </c>
      <c r="Q162" s="15">
        <v>0</v>
      </c>
      <c r="R162" s="15">
        <v>0</v>
      </c>
      <c r="S162" s="15">
        <v>18000</v>
      </c>
      <c r="T162" s="15">
        <v>19000</v>
      </c>
      <c r="U162" s="15">
        <f t="shared" si="11"/>
        <v>43400</v>
      </c>
      <c r="V162" s="16">
        <f t="shared" si="9"/>
        <v>0</v>
      </c>
      <c r="W162" s="16">
        <f>N162+O162-'додаток сесія_2024_2028_161 (2'!O162</f>
        <v>0</v>
      </c>
    </row>
    <row r="163" spans="1:23" s="17" customFormat="1" ht="49.5" hidden="1" customHeight="1" x14ac:dyDescent="0.2">
      <c r="A163" s="91"/>
      <c r="B163" s="92"/>
      <c r="C163" s="79" t="s">
        <v>168</v>
      </c>
      <c r="D163" s="95" t="s">
        <v>71</v>
      </c>
      <c r="E163" s="473"/>
      <c r="F163" s="55" t="s">
        <v>13</v>
      </c>
      <c r="G163" s="20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2600</v>
      </c>
      <c r="N163" s="15">
        <f t="shared" si="10"/>
        <v>2600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f t="shared" si="11"/>
        <v>2600</v>
      </c>
      <c r="V163" s="16">
        <f t="shared" si="9"/>
        <v>0</v>
      </c>
      <c r="W163" s="16">
        <f>N163+O163-'додаток сесія_2024_2028_161 (2'!O163</f>
        <v>0</v>
      </c>
    </row>
    <row r="164" spans="1:23" s="17" customFormat="1" ht="47.25" hidden="1" customHeight="1" x14ac:dyDescent="0.2">
      <c r="A164" s="91"/>
      <c r="B164" s="92"/>
      <c r="C164" s="79" t="s">
        <v>169</v>
      </c>
      <c r="D164" s="95" t="s">
        <v>71</v>
      </c>
      <c r="E164" s="473"/>
      <c r="F164" s="55" t="s">
        <v>13</v>
      </c>
      <c r="G164" s="20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1500</v>
      </c>
      <c r="N164" s="15">
        <f t="shared" si="10"/>
        <v>1500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f t="shared" si="11"/>
        <v>1500</v>
      </c>
      <c r="V164" s="16">
        <f t="shared" si="9"/>
        <v>0</v>
      </c>
      <c r="W164" s="16">
        <f>N164+O164-'додаток сесія_2024_2028_161 (2'!O164</f>
        <v>0</v>
      </c>
    </row>
    <row r="165" spans="1:23" s="17" customFormat="1" ht="48" hidden="1" customHeight="1" x14ac:dyDescent="0.2">
      <c r="A165" s="91"/>
      <c r="B165" s="92"/>
      <c r="C165" s="79" t="s">
        <v>170</v>
      </c>
      <c r="D165" s="95">
        <v>2022</v>
      </c>
      <c r="E165" s="473"/>
      <c r="F165" s="55" t="s">
        <v>13</v>
      </c>
      <c r="G165" s="20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700</v>
      </c>
      <c r="N165" s="15">
        <f t="shared" si="10"/>
        <v>700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f t="shared" si="11"/>
        <v>700</v>
      </c>
      <c r="V165" s="16">
        <f t="shared" si="9"/>
        <v>0</v>
      </c>
      <c r="W165" s="16">
        <f>N165+O165-'додаток сесія_2024_2028_161 (2'!O165</f>
        <v>0</v>
      </c>
    </row>
    <row r="166" spans="1:23" s="17" customFormat="1" ht="42.75" hidden="1" customHeight="1" x14ac:dyDescent="0.2">
      <c r="A166" s="91"/>
      <c r="B166" s="92"/>
      <c r="C166" s="79" t="s">
        <v>171</v>
      </c>
      <c r="D166" s="96">
        <v>2023</v>
      </c>
      <c r="E166" s="480"/>
      <c r="F166" s="96" t="s">
        <v>13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15">
        <v>0</v>
      </c>
      <c r="M166" s="15">
        <v>0</v>
      </c>
      <c r="N166" s="15">
        <f t="shared" si="10"/>
        <v>0</v>
      </c>
      <c r="O166" s="15">
        <v>400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f t="shared" si="11"/>
        <v>400</v>
      </c>
      <c r="V166" s="16">
        <f t="shared" si="9"/>
        <v>0</v>
      </c>
      <c r="W166" s="16">
        <f>N166+O166-'додаток сесія_2024_2028_161 (2'!O166</f>
        <v>0</v>
      </c>
    </row>
    <row r="167" spans="1:23" s="17" customFormat="1" ht="42" hidden="1" customHeight="1" x14ac:dyDescent="0.2">
      <c r="A167" s="91"/>
      <c r="B167" s="92"/>
      <c r="C167" s="83" t="s">
        <v>172</v>
      </c>
      <c r="D167" s="96" t="s">
        <v>86</v>
      </c>
      <c r="E167" s="480"/>
      <c r="F167" s="96" t="s">
        <v>13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15">
        <v>0</v>
      </c>
      <c r="M167" s="15">
        <v>0</v>
      </c>
      <c r="N167" s="15">
        <f t="shared" si="10"/>
        <v>0</v>
      </c>
      <c r="O167" s="15">
        <v>9800</v>
      </c>
      <c r="P167" s="15">
        <v>0</v>
      </c>
      <c r="Q167" s="15">
        <v>0</v>
      </c>
      <c r="R167" s="15">
        <v>0</v>
      </c>
      <c r="S167" s="15">
        <v>0</v>
      </c>
      <c r="T167" s="15">
        <v>13760</v>
      </c>
      <c r="U167" s="15">
        <f t="shared" si="11"/>
        <v>23560</v>
      </c>
      <c r="V167" s="16">
        <f t="shared" si="9"/>
        <v>0</v>
      </c>
      <c r="W167" s="16">
        <f>N167+O167-'додаток сесія_2024_2028_161 (2'!O167</f>
        <v>0</v>
      </c>
    </row>
    <row r="168" spans="1:23" s="17" customFormat="1" ht="45.75" hidden="1" customHeight="1" x14ac:dyDescent="0.2">
      <c r="A168" s="91"/>
      <c r="B168" s="92"/>
      <c r="C168" s="85" t="s">
        <v>173</v>
      </c>
      <c r="D168" s="66" t="s">
        <v>86</v>
      </c>
      <c r="E168" s="480"/>
      <c r="F168" s="96" t="s">
        <v>13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15">
        <v>0</v>
      </c>
      <c r="M168" s="15">
        <v>0</v>
      </c>
      <c r="N168" s="15">
        <f t="shared" si="10"/>
        <v>0</v>
      </c>
      <c r="O168" s="15">
        <v>4100</v>
      </c>
      <c r="P168" s="15">
        <v>0</v>
      </c>
      <c r="Q168" s="15">
        <v>0</v>
      </c>
      <c r="R168" s="15">
        <v>0</v>
      </c>
      <c r="S168" s="15">
        <v>0</v>
      </c>
      <c r="T168" s="15">
        <v>5757</v>
      </c>
      <c r="U168" s="15">
        <f t="shared" si="11"/>
        <v>9857</v>
      </c>
      <c r="V168" s="16">
        <f t="shared" si="9"/>
        <v>0</v>
      </c>
      <c r="W168" s="16">
        <f>N168+O168-'додаток сесія_2024_2028_161 (2'!O168</f>
        <v>0</v>
      </c>
    </row>
    <row r="169" spans="1:23" s="17" customFormat="1" ht="46.5" hidden="1" customHeight="1" x14ac:dyDescent="0.2">
      <c r="A169" s="91"/>
      <c r="B169" s="92"/>
      <c r="C169" s="79" t="s">
        <v>174</v>
      </c>
      <c r="D169" s="99">
        <v>2023</v>
      </c>
      <c r="E169" s="480"/>
      <c r="F169" s="96" t="s">
        <v>13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15">
        <v>0</v>
      </c>
      <c r="M169" s="15">
        <v>0</v>
      </c>
      <c r="N169" s="15">
        <f t="shared" si="10"/>
        <v>0</v>
      </c>
      <c r="O169" s="15">
        <v>720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f t="shared" si="11"/>
        <v>720</v>
      </c>
      <c r="V169" s="16">
        <f t="shared" si="9"/>
        <v>0</v>
      </c>
      <c r="W169" s="16">
        <f>N169+O169-'додаток сесія_2024_2028_161 (2'!O169</f>
        <v>0</v>
      </c>
    </row>
    <row r="170" spans="1:23" s="17" customFormat="1" ht="45.75" hidden="1" customHeight="1" x14ac:dyDescent="0.2">
      <c r="A170" s="94"/>
      <c r="B170" s="92"/>
      <c r="C170" s="79" t="s">
        <v>411</v>
      </c>
      <c r="D170" s="100" t="s">
        <v>88</v>
      </c>
      <c r="E170" s="481"/>
      <c r="F170" s="337" t="s">
        <v>13</v>
      </c>
      <c r="G170" s="190">
        <v>0</v>
      </c>
      <c r="H170" s="190">
        <v>0</v>
      </c>
      <c r="I170" s="190">
        <v>0</v>
      </c>
      <c r="J170" s="190">
        <v>0</v>
      </c>
      <c r="K170" s="190">
        <v>0</v>
      </c>
      <c r="L170" s="189">
        <v>0</v>
      </c>
      <c r="M170" s="189">
        <v>0</v>
      </c>
      <c r="N170" s="15">
        <f t="shared" si="10"/>
        <v>0</v>
      </c>
      <c r="O170" s="189">
        <v>0</v>
      </c>
      <c r="P170" s="15">
        <v>273</v>
      </c>
      <c r="Q170" s="190">
        <v>0</v>
      </c>
      <c r="R170" s="190">
        <v>0</v>
      </c>
      <c r="S170" s="190">
        <v>0</v>
      </c>
      <c r="T170" s="189">
        <f>700-700</f>
        <v>0</v>
      </c>
      <c r="U170" s="15">
        <f t="shared" si="11"/>
        <v>273</v>
      </c>
      <c r="V170" s="16">
        <f t="shared" si="9"/>
        <v>0</v>
      </c>
      <c r="W170" s="16">
        <f>N170+O170-'додаток сесія_2024_2028_161 (2'!O170</f>
        <v>0</v>
      </c>
    </row>
    <row r="171" spans="1:23" s="17" customFormat="1" ht="45" hidden="1" customHeight="1" x14ac:dyDescent="0.2">
      <c r="A171" s="94"/>
      <c r="B171" s="92"/>
      <c r="C171" s="79" t="s">
        <v>176</v>
      </c>
      <c r="D171" s="100" t="s">
        <v>88</v>
      </c>
      <c r="E171" s="482"/>
      <c r="F171" s="337" t="s">
        <v>13</v>
      </c>
      <c r="G171" s="190">
        <v>0</v>
      </c>
      <c r="H171" s="190">
        <v>0</v>
      </c>
      <c r="I171" s="190">
        <v>0</v>
      </c>
      <c r="J171" s="190">
        <v>0</v>
      </c>
      <c r="K171" s="190">
        <v>0</v>
      </c>
      <c r="L171" s="189">
        <v>0</v>
      </c>
      <c r="M171" s="189">
        <v>0</v>
      </c>
      <c r="N171" s="15">
        <f t="shared" si="10"/>
        <v>0</v>
      </c>
      <c r="O171" s="189">
        <v>0</v>
      </c>
      <c r="P171" s="15">
        <v>3550</v>
      </c>
      <c r="Q171" s="189">
        <v>0</v>
      </c>
      <c r="R171" s="189">
        <v>0</v>
      </c>
      <c r="S171" s="15">
        <v>4250</v>
      </c>
      <c r="T171" s="189">
        <v>0</v>
      </c>
      <c r="U171" s="15">
        <f t="shared" si="11"/>
        <v>7800</v>
      </c>
      <c r="V171" s="16">
        <f t="shared" si="9"/>
        <v>0</v>
      </c>
      <c r="W171" s="16">
        <f>N171+O171-'додаток сесія_2024_2028_161 (2'!O171</f>
        <v>0</v>
      </c>
    </row>
    <row r="172" spans="1:23" s="17" customFormat="1" ht="48" hidden="1" customHeight="1" x14ac:dyDescent="0.2">
      <c r="A172" s="94"/>
      <c r="B172" s="92"/>
      <c r="C172" s="79" t="s">
        <v>404</v>
      </c>
      <c r="D172" s="100" t="s">
        <v>88</v>
      </c>
      <c r="E172" s="482"/>
      <c r="F172" s="337" t="s">
        <v>13</v>
      </c>
      <c r="G172" s="190">
        <v>0</v>
      </c>
      <c r="H172" s="190">
        <v>0</v>
      </c>
      <c r="I172" s="190">
        <v>0</v>
      </c>
      <c r="J172" s="190">
        <v>0</v>
      </c>
      <c r="K172" s="190">
        <v>0</v>
      </c>
      <c r="L172" s="189">
        <v>0</v>
      </c>
      <c r="M172" s="189">
        <v>0</v>
      </c>
      <c r="N172" s="15">
        <f t="shared" si="10"/>
        <v>0</v>
      </c>
      <c r="O172" s="189">
        <v>0</v>
      </c>
      <c r="P172" s="15">
        <v>1150</v>
      </c>
      <c r="Q172" s="190">
        <v>0</v>
      </c>
      <c r="R172" s="190">
        <v>0</v>
      </c>
      <c r="S172" s="190">
        <v>0</v>
      </c>
      <c r="T172" s="189">
        <f>700-700</f>
        <v>0</v>
      </c>
      <c r="U172" s="15">
        <f t="shared" si="11"/>
        <v>1150</v>
      </c>
      <c r="V172" s="16">
        <f t="shared" si="9"/>
        <v>0</v>
      </c>
      <c r="W172" s="16">
        <f>N172+O172-'додаток сесія_2024_2028_161 (2'!O172</f>
        <v>0</v>
      </c>
    </row>
    <row r="173" spans="1:23" s="17" customFormat="1" ht="43.5" hidden="1" customHeight="1" x14ac:dyDescent="0.2">
      <c r="A173" s="94"/>
      <c r="B173" s="92"/>
      <c r="C173" s="79" t="s">
        <v>405</v>
      </c>
      <c r="D173" s="100" t="s">
        <v>88</v>
      </c>
      <c r="E173" s="482"/>
      <c r="F173" s="337" t="s">
        <v>13</v>
      </c>
      <c r="G173" s="190">
        <v>0</v>
      </c>
      <c r="H173" s="190">
        <v>0</v>
      </c>
      <c r="I173" s="190">
        <v>0</v>
      </c>
      <c r="J173" s="190">
        <v>0</v>
      </c>
      <c r="K173" s="190">
        <v>0</v>
      </c>
      <c r="L173" s="189">
        <v>0</v>
      </c>
      <c r="M173" s="189">
        <v>0</v>
      </c>
      <c r="N173" s="15">
        <f t="shared" si="10"/>
        <v>0</v>
      </c>
      <c r="O173" s="189">
        <v>0</v>
      </c>
      <c r="P173" s="15">
        <v>420</v>
      </c>
      <c r="Q173" s="190">
        <v>0</v>
      </c>
      <c r="R173" s="190">
        <v>0</v>
      </c>
      <c r="S173" s="190">
        <v>0</v>
      </c>
      <c r="T173" s="189">
        <f>700-700</f>
        <v>0</v>
      </c>
      <c r="U173" s="15">
        <f t="shared" si="11"/>
        <v>420</v>
      </c>
      <c r="V173" s="16">
        <f t="shared" si="9"/>
        <v>0</v>
      </c>
      <c r="W173" s="16">
        <f>N173+O173-'додаток сесія_2024_2028_161 (2'!O173</f>
        <v>0</v>
      </c>
    </row>
    <row r="174" spans="1:23" s="17" customFormat="1" ht="43.5" hidden="1" customHeight="1" x14ac:dyDescent="0.2">
      <c r="A174" s="94"/>
      <c r="B174" s="92"/>
      <c r="C174" s="79" t="s">
        <v>406</v>
      </c>
      <c r="D174" s="100" t="s">
        <v>88</v>
      </c>
      <c r="E174" s="482"/>
      <c r="F174" s="337" t="s">
        <v>13</v>
      </c>
      <c r="G174" s="190">
        <v>0</v>
      </c>
      <c r="H174" s="190">
        <v>0</v>
      </c>
      <c r="I174" s="190">
        <v>0</v>
      </c>
      <c r="J174" s="190">
        <v>0</v>
      </c>
      <c r="K174" s="190">
        <v>0</v>
      </c>
      <c r="L174" s="189">
        <v>0</v>
      </c>
      <c r="M174" s="189">
        <v>0</v>
      </c>
      <c r="N174" s="15">
        <f t="shared" si="10"/>
        <v>0</v>
      </c>
      <c r="O174" s="189">
        <v>0</v>
      </c>
      <c r="P174" s="15">
        <v>5700</v>
      </c>
      <c r="Q174" s="190">
        <v>0</v>
      </c>
      <c r="R174" s="190">
        <v>0</v>
      </c>
      <c r="S174" s="190">
        <v>0</v>
      </c>
      <c r="T174" s="189">
        <f>700-700</f>
        <v>0</v>
      </c>
      <c r="U174" s="15">
        <f t="shared" si="11"/>
        <v>5700</v>
      </c>
      <c r="V174" s="16">
        <f t="shared" si="9"/>
        <v>0</v>
      </c>
      <c r="W174" s="16">
        <f>N174+O174-'додаток сесія_2024_2028_161 (2'!O174</f>
        <v>0</v>
      </c>
    </row>
    <row r="175" spans="1:23" s="17" customFormat="1" ht="47.25" hidden="1" customHeight="1" x14ac:dyDescent="0.2">
      <c r="A175" s="94"/>
      <c r="B175" s="92"/>
      <c r="C175" s="79" t="s">
        <v>407</v>
      </c>
      <c r="D175" s="100" t="s">
        <v>88</v>
      </c>
      <c r="E175" s="482"/>
      <c r="F175" s="337" t="s">
        <v>13</v>
      </c>
      <c r="G175" s="190">
        <v>0</v>
      </c>
      <c r="H175" s="190">
        <v>0</v>
      </c>
      <c r="I175" s="190">
        <v>0</v>
      </c>
      <c r="J175" s="190">
        <v>0</v>
      </c>
      <c r="K175" s="190">
        <v>0</v>
      </c>
      <c r="L175" s="189">
        <v>0</v>
      </c>
      <c r="M175" s="189">
        <v>0</v>
      </c>
      <c r="N175" s="15">
        <f t="shared" si="10"/>
        <v>0</v>
      </c>
      <c r="O175" s="190">
        <v>0</v>
      </c>
      <c r="P175" s="190">
        <v>0</v>
      </c>
      <c r="Q175" s="190">
        <v>0</v>
      </c>
      <c r="R175" s="189">
        <v>0</v>
      </c>
      <c r="S175" s="189">
        <v>0</v>
      </c>
      <c r="T175" s="15">
        <v>8500</v>
      </c>
      <c r="U175" s="15">
        <f t="shared" si="11"/>
        <v>8500</v>
      </c>
      <c r="V175" s="16">
        <f t="shared" si="9"/>
        <v>0</v>
      </c>
      <c r="W175" s="16">
        <f>N175+O175-'додаток сесія_2024_2028_161 (2'!O175</f>
        <v>0</v>
      </c>
    </row>
    <row r="176" spans="1:23" s="17" customFormat="1" ht="45.75" hidden="1" customHeight="1" x14ac:dyDescent="0.2">
      <c r="A176" s="94"/>
      <c r="B176" s="92"/>
      <c r="C176" s="79" t="s">
        <v>408</v>
      </c>
      <c r="D176" s="100" t="s">
        <v>88</v>
      </c>
      <c r="E176" s="482"/>
      <c r="F176" s="337" t="s">
        <v>13</v>
      </c>
      <c r="G176" s="190">
        <v>0</v>
      </c>
      <c r="H176" s="190">
        <v>0</v>
      </c>
      <c r="I176" s="190">
        <v>0</v>
      </c>
      <c r="J176" s="190">
        <v>0</v>
      </c>
      <c r="K176" s="190">
        <v>0</v>
      </c>
      <c r="L176" s="189">
        <v>0</v>
      </c>
      <c r="M176" s="189">
        <v>0</v>
      </c>
      <c r="N176" s="15">
        <f t="shared" si="10"/>
        <v>0</v>
      </c>
      <c r="O176" s="190">
        <v>0</v>
      </c>
      <c r="P176" s="15">
        <v>12500</v>
      </c>
      <c r="Q176" s="190">
        <v>0</v>
      </c>
      <c r="R176" s="190">
        <v>0</v>
      </c>
      <c r="S176" s="190">
        <v>0</v>
      </c>
      <c r="T176" s="189">
        <f>700-700</f>
        <v>0</v>
      </c>
      <c r="U176" s="15">
        <f t="shared" si="11"/>
        <v>12500</v>
      </c>
      <c r="V176" s="16">
        <f t="shared" si="9"/>
        <v>0</v>
      </c>
      <c r="W176" s="16">
        <f>N176+O176-'додаток сесія_2024_2028_161 (2'!O176</f>
        <v>0</v>
      </c>
    </row>
    <row r="177" spans="1:23" s="17" customFormat="1" ht="41.25" hidden="1" customHeight="1" x14ac:dyDescent="0.2">
      <c r="A177" s="94"/>
      <c r="B177" s="92"/>
      <c r="C177" s="102" t="s">
        <v>409</v>
      </c>
      <c r="D177" s="103" t="s">
        <v>88</v>
      </c>
      <c r="E177" s="482"/>
      <c r="F177" s="337" t="s">
        <v>13</v>
      </c>
      <c r="G177" s="190">
        <v>0</v>
      </c>
      <c r="H177" s="190">
        <v>0</v>
      </c>
      <c r="I177" s="190">
        <v>0</v>
      </c>
      <c r="J177" s="190">
        <v>0</v>
      </c>
      <c r="K177" s="190">
        <v>0</v>
      </c>
      <c r="L177" s="189">
        <v>0</v>
      </c>
      <c r="M177" s="189">
        <v>0</v>
      </c>
      <c r="N177" s="15">
        <f t="shared" si="10"/>
        <v>0</v>
      </c>
      <c r="O177" s="190">
        <v>0</v>
      </c>
      <c r="P177" s="15">
        <v>5400</v>
      </c>
      <c r="Q177" s="190">
        <v>0</v>
      </c>
      <c r="R177" s="190">
        <v>0</v>
      </c>
      <c r="S177" s="190">
        <v>0</v>
      </c>
      <c r="T177" s="189">
        <f>700-700</f>
        <v>0</v>
      </c>
      <c r="U177" s="15">
        <f t="shared" si="11"/>
        <v>5400</v>
      </c>
      <c r="V177" s="16">
        <f t="shared" si="9"/>
        <v>0</v>
      </c>
      <c r="W177" s="16">
        <f>N177+O177-'додаток сесія_2024_2028_161 (2'!O177</f>
        <v>0</v>
      </c>
    </row>
    <row r="178" spans="1:23" s="17" customFormat="1" ht="46.5" hidden="1" customHeight="1" x14ac:dyDescent="0.2">
      <c r="A178" s="334"/>
      <c r="B178" s="335"/>
      <c r="C178" s="102" t="s">
        <v>410</v>
      </c>
      <c r="D178" s="103" t="s">
        <v>88</v>
      </c>
      <c r="E178" s="483"/>
      <c r="F178" s="337" t="s">
        <v>13</v>
      </c>
      <c r="G178" s="190">
        <v>0</v>
      </c>
      <c r="H178" s="190">
        <v>0</v>
      </c>
      <c r="I178" s="190">
        <v>0</v>
      </c>
      <c r="J178" s="190">
        <v>0</v>
      </c>
      <c r="K178" s="190">
        <v>0</v>
      </c>
      <c r="L178" s="189">
        <v>0</v>
      </c>
      <c r="M178" s="189">
        <v>0</v>
      </c>
      <c r="N178" s="15">
        <f t="shared" si="10"/>
        <v>0</v>
      </c>
      <c r="O178" s="190">
        <v>0</v>
      </c>
      <c r="P178" s="15">
        <v>2800</v>
      </c>
      <c r="Q178" s="190">
        <v>0</v>
      </c>
      <c r="R178" s="190">
        <v>0</v>
      </c>
      <c r="S178" s="190">
        <v>0</v>
      </c>
      <c r="T178" s="189">
        <f>700-700</f>
        <v>0</v>
      </c>
      <c r="U178" s="15">
        <f t="shared" si="11"/>
        <v>2800</v>
      </c>
      <c r="V178" s="16">
        <f t="shared" si="9"/>
        <v>0</v>
      </c>
      <c r="W178" s="16">
        <f>N178+O178-'додаток сесія_2024_2028_161 (2'!O178</f>
        <v>0</v>
      </c>
    </row>
    <row r="179" spans="1:23" s="17" customFormat="1" ht="40.5" hidden="1" customHeight="1" x14ac:dyDescent="0.2">
      <c r="A179" s="94"/>
      <c r="B179" s="92"/>
      <c r="C179" s="102" t="s">
        <v>431</v>
      </c>
      <c r="D179" s="103" t="s">
        <v>88</v>
      </c>
      <c r="E179" s="482"/>
      <c r="F179" s="337" t="s">
        <v>13</v>
      </c>
      <c r="G179" s="190">
        <v>0</v>
      </c>
      <c r="H179" s="190">
        <v>0</v>
      </c>
      <c r="I179" s="190">
        <v>0</v>
      </c>
      <c r="J179" s="190">
        <v>0</v>
      </c>
      <c r="K179" s="190">
        <v>0</v>
      </c>
      <c r="L179" s="189">
        <v>0</v>
      </c>
      <c r="M179" s="189">
        <v>0</v>
      </c>
      <c r="N179" s="15">
        <f t="shared" si="10"/>
        <v>0</v>
      </c>
      <c r="O179" s="190">
        <v>0</v>
      </c>
      <c r="P179" s="15">
        <v>650</v>
      </c>
      <c r="Q179" s="190">
        <v>0</v>
      </c>
      <c r="R179" s="15">
        <v>0</v>
      </c>
      <c r="S179" s="190">
        <v>0</v>
      </c>
      <c r="T179" s="15">
        <v>824</v>
      </c>
      <c r="U179" s="15">
        <f t="shared" si="11"/>
        <v>1474</v>
      </c>
      <c r="V179" s="16">
        <f t="shared" si="9"/>
        <v>0</v>
      </c>
      <c r="W179" s="16">
        <f>N179+O179-'додаток сесія_2024_2028_161 (2'!O179</f>
        <v>0</v>
      </c>
    </row>
    <row r="180" spans="1:23" s="17" customFormat="1" ht="42" hidden="1" customHeight="1" x14ac:dyDescent="0.2">
      <c r="A180" s="94"/>
      <c r="B180" s="92"/>
      <c r="C180" s="102" t="s">
        <v>185</v>
      </c>
      <c r="D180" s="103" t="s">
        <v>88</v>
      </c>
      <c r="E180" s="482"/>
      <c r="F180" s="337" t="s">
        <v>13</v>
      </c>
      <c r="G180" s="190">
        <v>0</v>
      </c>
      <c r="H180" s="190">
        <v>0</v>
      </c>
      <c r="I180" s="190">
        <v>0</v>
      </c>
      <c r="J180" s="190">
        <v>0</v>
      </c>
      <c r="K180" s="190">
        <v>0</v>
      </c>
      <c r="L180" s="189">
        <v>0</v>
      </c>
      <c r="M180" s="189">
        <v>0</v>
      </c>
      <c r="N180" s="15">
        <f t="shared" si="10"/>
        <v>0</v>
      </c>
      <c r="O180" s="190">
        <v>0</v>
      </c>
      <c r="P180" s="190">
        <v>0</v>
      </c>
      <c r="Q180" s="190">
        <v>0</v>
      </c>
      <c r="R180" s="189">
        <v>0</v>
      </c>
      <c r="S180" s="15">
        <v>667</v>
      </c>
      <c r="T180" s="190">
        <v>0</v>
      </c>
      <c r="U180" s="15">
        <f t="shared" si="11"/>
        <v>667</v>
      </c>
      <c r="V180" s="16">
        <f t="shared" si="9"/>
        <v>0</v>
      </c>
      <c r="W180" s="16">
        <f>N180+O180-'додаток сесія_2024_2028_161 (2'!O180</f>
        <v>0</v>
      </c>
    </row>
    <row r="181" spans="1:23" s="17" customFormat="1" ht="45.75" hidden="1" customHeight="1" x14ac:dyDescent="0.2">
      <c r="A181" s="94"/>
      <c r="B181" s="92"/>
      <c r="C181" s="102" t="s">
        <v>186</v>
      </c>
      <c r="D181" s="103" t="s">
        <v>88</v>
      </c>
      <c r="E181" s="482"/>
      <c r="F181" s="337" t="s">
        <v>13</v>
      </c>
      <c r="G181" s="190">
        <v>0</v>
      </c>
      <c r="H181" s="190">
        <v>0</v>
      </c>
      <c r="I181" s="190">
        <v>0</v>
      </c>
      <c r="J181" s="190">
        <v>0</v>
      </c>
      <c r="K181" s="190">
        <v>0</v>
      </c>
      <c r="L181" s="189">
        <v>0</v>
      </c>
      <c r="M181" s="189">
        <v>0</v>
      </c>
      <c r="N181" s="15">
        <f t="shared" si="10"/>
        <v>0</v>
      </c>
      <c r="O181" s="190">
        <v>0</v>
      </c>
      <c r="P181" s="190">
        <v>0</v>
      </c>
      <c r="Q181" s="190">
        <v>0</v>
      </c>
      <c r="R181" s="189">
        <v>0</v>
      </c>
      <c r="S181" s="15">
        <v>120</v>
      </c>
      <c r="T181" s="190">
        <v>0</v>
      </c>
      <c r="U181" s="15">
        <f t="shared" si="11"/>
        <v>120</v>
      </c>
      <c r="V181" s="16">
        <f t="shared" si="9"/>
        <v>0</v>
      </c>
      <c r="W181" s="16">
        <f>N181+O181-'додаток сесія_2024_2028_161 (2'!O181</f>
        <v>0</v>
      </c>
    </row>
    <row r="182" spans="1:23" s="17" customFormat="1" ht="42.75" hidden="1" customHeight="1" x14ac:dyDescent="0.2">
      <c r="A182" s="94"/>
      <c r="B182" s="92"/>
      <c r="C182" s="83" t="s">
        <v>413</v>
      </c>
      <c r="D182" s="103" t="s">
        <v>88</v>
      </c>
      <c r="E182" s="482"/>
      <c r="F182" s="337" t="s">
        <v>13</v>
      </c>
      <c r="G182" s="190">
        <v>0</v>
      </c>
      <c r="H182" s="190">
        <v>0</v>
      </c>
      <c r="I182" s="190">
        <v>0</v>
      </c>
      <c r="J182" s="190">
        <v>0</v>
      </c>
      <c r="K182" s="190">
        <v>0</v>
      </c>
      <c r="L182" s="189">
        <v>0</v>
      </c>
      <c r="M182" s="189">
        <v>0</v>
      </c>
      <c r="N182" s="15">
        <f t="shared" si="10"/>
        <v>0</v>
      </c>
      <c r="O182" s="190">
        <v>0</v>
      </c>
      <c r="P182" s="190">
        <v>0</v>
      </c>
      <c r="Q182" s="189">
        <v>0</v>
      </c>
      <c r="R182" s="15">
        <v>160</v>
      </c>
      <c r="S182" s="190">
        <v>0</v>
      </c>
      <c r="T182" s="15">
        <v>179</v>
      </c>
      <c r="U182" s="15">
        <f t="shared" si="11"/>
        <v>339</v>
      </c>
      <c r="V182" s="16">
        <f t="shared" si="9"/>
        <v>0</v>
      </c>
      <c r="W182" s="16">
        <f>N182+O182-'додаток сесія_2024_2028_161 (2'!O182</f>
        <v>0</v>
      </c>
    </row>
    <row r="183" spans="1:23" s="17" customFormat="1" ht="44.25" hidden="1" customHeight="1" x14ac:dyDescent="0.2">
      <c r="A183" s="94"/>
      <c r="B183" s="92"/>
      <c r="C183" s="85" t="s">
        <v>188</v>
      </c>
      <c r="D183" s="104" t="s">
        <v>88</v>
      </c>
      <c r="E183" s="482"/>
      <c r="F183" s="337" t="s">
        <v>13</v>
      </c>
      <c r="G183" s="190">
        <v>0</v>
      </c>
      <c r="H183" s="190">
        <v>0</v>
      </c>
      <c r="I183" s="190">
        <v>0</v>
      </c>
      <c r="J183" s="190">
        <v>0</v>
      </c>
      <c r="K183" s="190">
        <v>0</v>
      </c>
      <c r="L183" s="189">
        <v>0</v>
      </c>
      <c r="M183" s="189">
        <v>0</v>
      </c>
      <c r="N183" s="15">
        <f t="shared" si="10"/>
        <v>0</v>
      </c>
      <c r="O183" s="190">
        <v>0</v>
      </c>
      <c r="P183" s="190">
        <v>0</v>
      </c>
      <c r="Q183" s="189">
        <v>0</v>
      </c>
      <c r="R183" s="15">
        <v>120</v>
      </c>
      <c r="S183" s="190">
        <v>0</v>
      </c>
      <c r="T183" s="189">
        <v>0</v>
      </c>
      <c r="U183" s="15">
        <f t="shared" si="11"/>
        <v>120</v>
      </c>
      <c r="V183" s="16">
        <f t="shared" si="9"/>
        <v>0</v>
      </c>
      <c r="W183" s="16">
        <f>N183+O183-'додаток сесія_2024_2028_161 (2'!O183</f>
        <v>0</v>
      </c>
    </row>
    <row r="184" spans="1:23" s="17" customFormat="1" ht="45" hidden="1" customHeight="1" x14ac:dyDescent="0.2">
      <c r="A184" s="94"/>
      <c r="B184" s="92"/>
      <c r="C184" s="102" t="s">
        <v>189</v>
      </c>
      <c r="D184" s="103" t="s">
        <v>88</v>
      </c>
      <c r="E184" s="482"/>
      <c r="F184" s="337" t="s">
        <v>13</v>
      </c>
      <c r="G184" s="190">
        <v>0</v>
      </c>
      <c r="H184" s="190">
        <v>0</v>
      </c>
      <c r="I184" s="190">
        <v>0</v>
      </c>
      <c r="J184" s="190">
        <v>0</v>
      </c>
      <c r="K184" s="190">
        <v>0</v>
      </c>
      <c r="L184" s="189">
        <v>0</v>
      </c>
      <c r="M184" s="189">
        <v>0</v>
      </c>
      <c r="N184" s="15">
        <f t="shared" si="10"/>
        <v>0</v>
      </c>
      <c r="O184" s="190">
        <v>0</v>
      </c>
      <c r="P184" s="190">
        <v>0</v>
      </c>
      <c r="Q184" s="190">
        <v>0</v>
      </c>
      <c r="R184" s="189">
        <v>0</v>
      </c>
      <c r="S184" s="15">
        <v>154</v>
      </c>
      <c r="T184" s="190">
        <v>0</v>
      </c>
      <c r="U184" s="15">
        <f t="shared" si="11"/>
        <v>154</v>
      </c>
      <c r="V184" s="16">
        <f t="shared" si="9"/>
        <v>0</v>
      </c>
      <c r="W184" s="16">
        <f>N184+O184-'додаток сесія_2024_2028_161 (2'!O184</f>
        <v>0</v>
      </c>
    </row>
    <row r="185" spans="1:23" s="17" customFormat="1" ht="42.75" hidden="1" customHeight="1" x14ac:dyDescent="0.2">
      <c r="A185" s="94"/>
      <c r="B185" s="92"/>
      <c r="C185" s="102" t="s">
        <v>412</v>
      </c>
      <c r="D185" s="103" t="s">
        <v>88</v>
      </c>
      <c r="E185" s="482"/>
      <c r="F185" s="337" t="s">
        <v>13</v>
      </c>
      <c r="G185" s="190">
        <v>0</v>
      </c>
      <c r="H185" s="190">
        <v>0</v>
      </c>
      <c r="I185" s="190">
        <v>0</v>
      </c>
      <c r="J185" s="190">
        <v>0</v>
      </c>
      <c r="K185" s="190">
        <v>0</v>
      </c>
      <c r="L185" s="189">
        <v>0</v>
      </c>
      <c r="M185" s="189">
        <v>0</v>
      </c>
      <c r="N185" s="15">
        <f t="shared" si="10"/>
        <v>0</v>
      </c>
      <c r="O185" s="190">
        <v>0</v>
      </c>
      <c r="P185" s="190">
        <v>0</v>
      </c>
      <c r="Q185" s="190">
        <v>0</v>
      </c>
      <c r="R185" s="189">
        <v>0</v>
      </c>
      <c r="S185" s="15">
        <v>1343</v>
      </c>
      <c r="T185" s="190">
        <v>0</v>
      </c>
      <c r="U185" s="15">
        <f t="shared" si="11"/>
        <v>1343</v>
      </c>
      <c r="V185" s="16">
        <f t="shared" si="9"/>
        <v>0</v>
      </c>
      <c r="W185" s="16">
        <f>N185+O185-'додаток сесія_2024_2028_161 (2'!O185</f>
        <v>0</v>
      </c>
    </row>
    <row r="186" spans="1:23" s="17" customFormat="1" ht="39" hidden="1" customHeight="1" x14ac:dyDescent="0.2">
      <c r="A186" s="94"/>
      <c r="B186" s="92"/>
      <c r="C186" s="102" t="s">
        <v>417</v>
      </c>
      <c r="D186" s="103" t="s">
        <v>88</v>
      </c>
      <c r="E186" s="482"/>
      <c r="F186" s="337" t="s">
        <v>13</v>
      </c>
      <c r="G186" s="190">
        <v>0</v>
      </c>
      <c r="H186" s="190">
        <v>0</v>
      </c>
      <c r="I186" s="190">
        <v>0</v>
      </c>
      <c r="J186" s="190">
        <v>0</v>
      </c>
      <c r="K186" s="190">
        <v>0</v>
      </c>
      <c r="L186" s="189">
        <v>0</v>
      </c>
      <c r="M186" s="189">
        <v>0</v>
      </c>
      <c r="N186" s="15">
        <f t="shared" si="10"/>
        <v>0</v>
      </c>
      <c r="O186" s="190">
        <v>0</v>
      </c>
      <c r="P186" s="190">
        <v>0</v>
      </c>
      <c r="Q186" s="190">
        <v>0</v>
      </c>
      <c r="R186" s="189">
        <v>0</v>
      </c>
      <c r="S186" s="15">
        <v>150</v>
      </c>
      <c r="T186" s="190">
        <v>0</v>
      </c>
      <c r="U186" s="15">
        <f t="shared" si="11"/>
        <v>150</v>
      </c>
      <c r="V186" s="16">
        <f t="shared" si="9"/>
        <v>0</v>
      </c>
      <c r="W186" s="16">
        <f>N186+O186-'додаток сесія_2024_2028_161 (2'!O186</f>
        <v>0</v>
      </c>
    </row>
    <row r="187" spans="1:23" s="17" customFormat="1" ht="43.5" hidden="1" customHeight="1" x14ac:dyDescent="0.2">
      <c r="A187" s="94"/>
      <c r="B187" s="92"/>
      <c r="C187" s="102" t="s">
        <v>418</v>
      </c>
      <c r="D187" s="103" t="s">
        <v>88</v>
      </c>
      <c r="E187" s="482"/>
      <c r="F187" s="337" t="s">
        <v>13</v>
      </c>
      <c r="G187" s="190">
        <v>0</v>
      </c>
      <c r="H187" s="190">
        <v>0</v>
      </c>
      <c r="I187" s="190">
        <v>0</v>
      </c>
      <c r="J187" s="190">
        <v>0</v>
      </c>
      <c r="K187" s="190">
        <v>0</v>
      </c>
      <c r="L187" s="189">
        <v>0</v>
      </c>
      <c r="M187" s="189">
        <v>0</v>
      </c>
      <c r="N187" s="15">
        <f t="shared" si="10"/>
        <v>0</v>
      </c>
      <c r="O187" s="190">
        <v>0</v>
      </c>
      <c r="P187" s="190">
        <v>0</v>
      </c>
      <c r="Q187" s="190">
        <v>0</v>
      </c>
      <c r="R187" s="189">
        <v>0</v>
      </c>
      <c r="S187" s="190">
        <v>0</v>
      </c>
      <c r="T187" s="15">
        <v>190</v>
      </c>
      <c r="U187" s="15">
        <f t="shared" si="11"/>
        <v>190</v>
      </c>
      <c r="V187" s="16">
        <f t="shared" si="9"/>
        <v>0</v>
      </c>
      <c r="W187" s="16">
        <f>N187+O187-'додаток сесія_2024_2028_161 (2'!O187</f>
        <v>0</v>
      </c>
    </row>
    <row r="188" spans="1:23" s="17" customFormat="1" ht="44.25" hidden="1" customHeight="1" x14ac:dyDescent="0.2">
      <c r="A188" s="94"/>
      <c r="B188" s="92"/>
      <c r="C188" s="105" t="s">
        <v>419</v>
      </c>
      <c r="D188" s="106" t="s">
        <v>88</v>
      </c>
      <c r="E188" s="482"/>
      <c r="F188" s="337" t="s">
        <v>13</v>
      </c>
      <c r="G188" s="190">
        <v>0</v>
      </c>
      <c r="H188" s="190">
        <v>0</v>
      </c>
      <c r="I188" s="190">
        <v>0</v>
      </c>
      <c r="J188" s="190">
        <v>0</v>
      </c>
      <c r="K188" s="190">
        <v>0</v>
      </c>
      <c r="L188" s="189">
        <v>0</v>
      </c>
      <c r="M188" s="189">
        <v>0</v>
      </c>
      <c r="N188" s="15">
        <f t="shared" si="10"/>
        <v>0</v>
      </c>
      <c r="O188" s="190">
        <v>0</v>
      </c>
      <c r="P188" s="190">
        <v>0</v>
      </c>
      <c r="Q188" s="190">
        <v>0</v>
      </c>
      <c r="R188" s="189">
        <v>0</v>
      </c>
      <c r="S188" s="15">
        <v>134</v>
      </c>
      <c r="T188" s="190">
        <v>0</v>
      </c>
      <c r="U188" s="15">
        <f t="shared" si="11"/>
        <v>134</v>
      </c>
      <c r="V188" s="16">
        <f t="shared" si="9"/>
        <v>0</v>
      </c>
      <c r="W188" s="16">
        <f>N188+O188-'додаток сесія_2024_2028_161 (2'!O188</f>
        <v>0</v>
      </c>
    </row>
    <row r="189" spans="1:23" s="17" customFormat="1" ht="41.25" hidden="1" customHeight="1" x14ac:dyDescent="0.2">
      <c r="A189" s="94"/>
      <c r="B189" s="92"/>
      <c r="C189" s="105" t="s">
        <v>420</v>
      </c>
      <c r="D189" s="106" t="s">
        <v>88</v>
      </c>
      <c r="E189" s="482"/>
      <c r="F189" s="337" t="s">
        <v>13</v>
      </c>
      <c r="G189" s="190">
        <v>0</v>
      </c>
      <c r="H189" s="190">
        <v>0</v>
      </c>
      <c r="I189" s="190">
        <v>0</v>
      </c>
      <c r="J189" s="190">
        <v>0</v>
      </c>
      <c r="K189" s="190">
        <v>0</v>
      </c>
      <c r="L189" s="189">
        <v>0</v>
      </c>
      <c r="M189" s="189">
        <v>0</v>
      </c>
      <c r="N189" s="15">
        <f t="shared" si="10"/>
        <v>0</v>
      </c>
      <c r="O189" s="190">
        <v>0</v>
      </c>
      <c r="P189" s="190">
        <v>0</v>
      </c>
      <c r="Q189" s="190">
        <v>0</v>
      </c>
      <c r="R189" s="189">
        <v>0</v>
      </c>
      <c r="S189" s="15">
        <v>196</v>
      </c>
      <c r="T189" s="190">
        <v>0</v>
      </c>
      <c r="U189" s="15">
        <f t="shared" si="11"/>
        <v>196</v>
      </c>
      <c r="V189" s="16">
        <f t="shared" si="9"/>
        <v>0</v>
      </c>
      <c r="W189" s="16">
        <f>N189+O189-'додаток сесія_2024_2028_161 (2'!O189</f>
        <v>0</v>
      </c>
    </row>
    <row r="190" spans="1:23" s="17" customFormat="1" ht="43.5" hidden="1" customHeight="1" x14ac:dyDescent="0.2">
      <c r="A190" s="94"/>
      <c r="B190" s="92"/>
      <c r="C190" s="105" t="s">
        <v>195</v>
      </c>
      <c r="D190" s="106" t="s">
        <v>88</v>
      </c>
      <c r="E190" s="482"/>
      <c r="F190" s="337" t="s">
        <v>13</v>
      </c>
      <c r="G190" s="190">
        <v>0</v>
      </c>
      <c r="H190" s="190">
        <v>0</v>
      </c>
      <c r="I190" s="190">
        <v>0</v>
      </c>
      <c r="J190" s="190">
        <v>0</v>
      </c>
      <c r="K190" s="190">
        <v>0</v>
      </c>
      <c r="L190" s="189">
        <v>0</v>
      </c>
      <c r="M190" s="189">
        <v>0</v>
      </c>
      <c r="N190" s="15">
        <f t="shared" si="10"/>
        <v>0</v>
      </c>
      <c r="O190" s="190">
        <v>0</v>
      </c>
      <c r="P190" s="190">
        <v>0</v>
      </c>
      <c r="Q190" s="190">
        <v>0</v>
      </c>
      <c r="R190" s="189">
        <v>0</v>
      </c>
      <c r="S190" s="15">
        <v>5600</v>
      </c>
      <c r="T190" s="190">
        <v>0</v>
      </c>
      <c r="U190" s="15">
        <f t="shared" si="11"/>
        <v>5600</v>
      </c>
      <c r="V190" s="16">
        <f t="shared" si="9"/>
        <v>0</v>
      </c>
      <c r="W190" s="16">
        <f>N190+O190-'додаток сесія_2024_2028_161 (2'!O190</f>
        <v>0</v>
      </c>
    </row>
    <row r="191" spans="1:23" s="17" customFormat="1" ht="46.5" hidden="1" customHeight="1" x14ac:dyDescent="0.2">
      <c r="A191" s="94"/>
      <c r="B191" s="92"/>
      <c r="C191" s="105" t="s">
        <v>415</v>
      </c>
      <c r="D191" s="106" t="s">
        <v>88</v>
      </c>
      <c r="E191" s="482"/>
      <c r="F191" s="337" t="s">
        <v>13</v>
      </c>
      <c r="G191" s="190">
        <v>0</v>
      </c>
      <c r="H191" s="190">
        <v>0</v>
      </c>
      <c r="I191" s="190">
        <v>0</v>
      </c>
      <c r="J191" s="190">
        <v>0</v>
      </c>
      <c r="K191" s="190">
        <v>0</v>
      </c>
      <c r="L191" s="189">
        <v>0</v>
      </c>
      <c r="M191" s="189">
        <v>0</v>
      </c>
      <c r="N191" s="15">
        <f t="shared" si="10"/>
        <v>0</v>
      </c>
      <c r="O191" s="190">
        <v>0</v>
      </c>
      <c r="P191" s="190">
        <v>0</v>
      </c>
      <c r="Q191" s="190">
        <v>0</v>
      </c>
      <c r="R191" s="189">
        <v>0</v>
      </c>
      <c r="S191" s="15">
        <v>3358</v>
      </c>
      <c r="T191" s="190">
        <v>0</v>
      </c>
      <c r="U191" s="15">
        <f t="shared" si="11"/>
        <v>3358</v>
      </c>
      <c r="V191" s="16">
        <f t="shared" si="9"/>
        <v>0</v>
      </c>
      <c r="W191" s="16">
        <f>N191+O191-'додаток сесія_2024_2028_161 (2'!O191</f>
        <v>0</v>
      </c>
    </row>
    <row r="192" spans="1:23" s="17" customFormat="1" ht="44.25" hidden="1" customHeight="1" x14ac:dyDescent="0.2">
      <c r="A192" s="94"/>
      <c r="B192" s="92"/>
      <c r="C192" s="105" t="s">
        <v>197</v>
      </c>
      <c r="D192" s="106" t="s">
        <v>88</v>
      </c>
      <c r="E192" s="482"/>
      <c r="F192" s="337" t="s">
        <v>13</v>
      </c>
      <c r="G192" s="190">
        <v>0</v>
      </c>
      <c r="H192" s="190">
        <v>0</v>
      </c>
      <c r="I192" s="190">
        <v>0</v>
      </c>
      <c r="J192" s="190">
        <v>0</v>
      </c>
      <c r="K192" s="190">
        <v>0</v>
      </c>
      <c r="L192" s="189">
        <v>0</v>
      </c>
      <c r="M192" s="189">
        <v>0</v>
      </c>
      <c r="N192" s="15">
        <f t="shared" si="10"/>
        <v>0</v>
      </c>
      <c r="O192" s="190">
        <v>0</v>
      </c>
      <c r="P192" s="190">
        <v>0</v>
      </c>
      <c r="Q192" s="190">
        <v>0</v>
      </c>
      <c r="R192" s="189">
        <v>0</v>
      </c>
      <c r="S192" s="189">
        <v>0</v>
      </c>
      <c r="T192" s="15">
        <v>300</v>
      </c>
      <c r="U192" s="15">
        <f t="shared" si="11"/>
        <v>300</v>
      </c>
      <c r="V192" s="16">
        <f t="shared" si="9"/>
        <v>0</v>
      </c>
      <c r="W192" s="16">
        <f>N192+O192-'додаток сесія_2024_2028_161 (2'!O192</f>
        <v>0</v>
      </c>
    </row>
    <row r="193" spans="1:23" s="17" customFormat="1" ht="181.5" customHeight="1" x14ac:dyDescent="0.2">
      <c r="A193" s="522">
        <v>2</v>
      </c>
      <c r="B193" s="520" t="s">
        <v>92</v>
      </c>
      <c r="C193" s="83" t="s">
        <v>441</v>
      </c>
      <c r="D193" s="521" t="s">
        <v>88</v>
      </c>
      <c r="E193" s="517" t="s">
        <v>442</v>
      </c>
      <c r="F193" s="337" t="s">
        <v>13</v>
      </c>
      <c r="G193" s="190">
        <v>0</v>
      </c>
      <c r="H193" s="190">
        <v>0</v>
      </c>
      <c r="I193" s="190">
        <v>0</v>
      </c>
      <c r="J193" s="190">
        <v>0</v>
      </c>
      <c r="K193" s="190">
        <v>0</v>
      </c>
      <c r="L193" s="189">
        <v>0</v>
      </c>
      <c r="M193" s="189">
        <v>0</v>
      </c>
      <c r="N193" s="15">
        <f t="shared" si="10"/>
        <v>0</v>
      </c>
      <c r="O193" s="190">
        <v>0</v>
      </c>
      <c r="P193" s="15">
        <f>800+2000</f>
        <v>2800</v>
      </c>
      <c r="Q193" s="190">
        <v>0</v>
      </c>
      <c r="R193" s="189">
        <v>0</v>
      </c>
      <c r="S193" s="189">
        <v>0</v>
      </c>
      <c r="T193" s="190">
        <v>0</v>
      </c>
      <c r="U193" s="15">
        <f t="shared" si="11"/>
        <v>2800</v>
      </c>
      <c r="V193" s="16">
        <f t="shared" si="9"/>
        <v>0</v>
      </c>
      <c r="W193" s="16">
        <f>N193+O193-'додаток сесія_2024_2028_161 (2'!O193</f>
        <v>0</v>
      </c>
    </row>
    <row r="194" spans="1:23" s="17" customFormat="1" ht="63" hidden="1" customHeight="1" x14ac:dyDescent="0.2">
      <c r="A194" s="94"/>
      <c r="B194" s="92"/>
      <c r="C194" s="518" t="s">
        <v>414</v>
      </c>
      <c r="D194" s="519" t="s">
        <v>88</v>
      </c>
      <c r="E194" s="482"/>
      <c r="F194" s="337" t="s">
        <v>13</v>
      </c>
      <c r="G194" s="190">
        <v>0</v>
      </c>
      <c r="H194" s="190">
        <v>0</v>
      </c>
      <c r="I194" s="190">
        <v>0</v>
      </c>
      <c r="J194" s="190">
        <v>0</v>
      </c>
      <c r="K194" s="190">
        <v>0</v>
      </c>
      <c r="L194" s="189">
        <v>0</v>
      </c>
      <c r="M194" s="189">
        <v>0</v>
      </c>
      <c r="N194" s="15">
        <f t="shared" si="10"/>
        <v>0</v>
      </c>
      <c r="O194" s="190">
        <v>0</v>
      </c>
      <c r="P194" s="190">
        <v>0</v>
      </c>
      <c r="Q194" s="15">
        <v>25000</v>
      </c>
      <c r="R194" s="189">
        <v>0</v>
      </c>
      <c r="S194" s="189">
        <v>0</v>
      </c>
      <c r="T194" s="190">
        <v>0</v>
      </c>
      <c r="U194" s="15">
        <f t="shared" si="11"/>
        <v>25000</v>
      </c>
      <c r="V194" s="16">
        <f t="shared" si="9"/>
        <v>0</v>
      </c>
      <c r="W194" s="16">
        <f>N194+O194-'додаток сесія_2024_2028_161 (2'!O194</f>
        <v>0</v>
      </c>
    </row>
    <row r="195" spans="1:23" s="17" customFormat="1" ht="48.75" hidden="1" customHeight="1" x14ac:dyDescent="0.2">
      <c r="A195" s="94"/>
      <c r="B195" s="92"/>
      <c r="C195" s="83" t="s">
        <v>434</v>
      </c>
      <c r="D195" s="106" t="s">
        <v>88</v>
      </c>
      <c r="E195" s="482"/>
      <c r="F195" s="337" t="s">
        <v>13</v>
      </c>
      <c r="G195" s="190">
        <v>0</v>
      </c>
      <c r="H195" s="190">
        <v>0</v>
      </c>
      <c r="I195" s="190">
        <v>0</v>
      </c>
      <c r="J195" s="190">
        <v>0</v>
      </c>
      <c r="K195" s="190">
        <v>0</v>
      </c>
      <c r="L195" s="189">
        <v>0</v>
      </c>
      <c r="M195" s="189">
        <v>0</v>
      </c>
      <c r="N195" s="15">
        <f t="shared" si="10"/>
        <v>0</v>
      </c>
      <c r="O195" s="190">
        <v>0</v>
      </c>
      <c r="P195" s="15">
        <v>2663.3</v>
      </c>
      <c r="Q195" s="190">
        <v>0</v>
      </c>
      <c r="R195" s="189">
        <v>0</v>
      </c>
      <c r="S195" s="189">
        <v>0</v>
      </c>
      <c r="T195" s="190">
        <v>0</v>
      </c>
      <c r="U195" s="15">
        <f t="shared" si="11"/>
        <v>2663.3</v>
      </c>
      <c r="V195" s="16">
        <f t="shared" si="9"/>
        <v>0</v>
      </c>
      <c r="W195" s="16">
        <f>N195+O195-'додаток сесія_2024_2028_161 (2'!O195</f>
        <v>0</v>
      </c>
    </row>
    <row r="196" spans="1:23" s="17" customFormat="1" ht="56.25" hidden="1" customHeight="1" x14ac:dyDescent="0.2">
      <c r="A196" s="94"/>
      <c r="B196" s="92"/>
      <c r="C196" s="85" t="s">
        <v>433</v>
      </c>
      <c r="D196" s="104" t="s">
        <v>88</v>
      </c>
      <c r="E196" s="482"/>
      <c r="F196" s="337" t="s">
        <v>13</v>
      </c>
      <c r="G196" s="190">
        <v>0</v>
      </c>
      <c r="H196" s="190">
        <v>0</v>
      </c>
      <c r="I196" s="190">
        <v>0</v>
      </c>
      <c r="J196" s="190">
        <v>0</v>
      </c>
      <c r="K196" s="190">
        <v>0</v>
      </c>
      <c r="L196" s="189">
        <v>0</v>
      </c>
      <c r="M196" s="189">
        <v>0</v>
      </c>
      <c r="N196" s="15">
        <f t="shared" si="10"/>
        <v>0</v>
      </c>
      <c r="O196" s="190">
        <v>0</v>
      </c>
      <c r="P196" s="190">
        <v>0</v>
      </c>
      <c r="Q196" s="15">
        <v>250000</v>
      </c>
      <c r="R196" s="189">
        <v>0</v>
      </c>
      <c r="S196" s="189">
        <v>0</v>
      </c>
      <c r="T196" s="190">
        <v>0</v>
      </c>
      <c r="U196" s="15">
        <f t="shared" si="11"/>
        <v>250000</v>
      </c>
      <c r="V196" s="16">
        <f t="shared" si="9"/>
        <v>0</v>
      </c>
      <c r="W196" s="16">
        <f>N196+O196-'додаток сесія_2024_2028_161 (2'!O196</f>
        <v>0</v>
      </c>
    </row>
    <row r="197" spans="1:23" s="17" customFormat="1" ht="43.5" hidden="1" customHeight="1" x14ac:dyDescent="0.2">
      <c r="A197" s="399"/>
      <c r="B197" s="400"/>
      <c r="C197" s="83" t="s">
        <v>432</v>
      </c>
      <c r="D197" s="394" t="s">
        <v>88</v>
      </c>
      <c r="E197" s="335"/>
      <c r="F197" s="337" t="s">
        <v>13</v>
      </c>
      <c r="G197" s="190">
        <v>0</v>
      </c>
      <c r="H197" s="190">
        <v>0</v>
      </c>
      <c r="I197" s="190">
        <v>0</v>
      </c>
      <c r="J197" s="190">
        <v>0</v>
      </c>
      <c r="K197" s="190">
        <v>0</v>
      </c>
      <c r="L197" s="189">
        <v>0</v>
      </c>
      <c r="M197" s="189">
        <v>0</v>
      </c>
      <c r="N197" s="15">
        <f t="shared" si="10"/>
        <v>0</v>
      </c>
      <c r="O197" s="190">
        <v>0</v>
      </c>
      <c r="P197" s="15">
        <v>100</v>
      </c>
      <c r="Q197" s="190">
        <v>0</v>
      </c>
      <c r="R197" s="189">
        <v>0</v>
      </c>
      <c r="S197" s="189">
        <v>0</v>
      </c>
      <c r="T197" s="190">
        <v>0</v>
      </c>
      <c r="U197" s="15">
        <f t="shared" si="11"/>
        <v>100</v>
      </c>
      <c r="V197" s="16">
        <f t="shared" si="9"/>
        <v>0</v>
      </c>
      <c r="W197" s="16">
        <f>N197+O197-'додаток сесія_2024_2028_161 (2'!O197</f>
        <v>0</v>
      </c>
    </row>
    <row r="198" spans="1:23" s="17" customFormat="1" ht="42.75" hidden="1" customHeight="1" x14ac:dyDescent="0.2">
      <c r="A198" s="94"/>
      <c r="B198" s="92"/>
      <c r="C198" s="374" t="s">
        <v>200</v>
      </c>
      <c r="D198" s="391" t="s">
        <v>88</v>
      </c>
      <c r="E198" s="92"/>
      <c r="F198" s="337" t="s">
        <v>13</v>
      </c>
      <c r="G198" s="190">
        <v>0</v>
      </c>
      <c r="H198" s="190">
        <v>0</v>
      </c>
      <c r="I198" s="190">
        <v>0</v>
      </c>
      <c r="J198" s="190">
        <v>0</v>
      </c>
      <c r="K198" s="190">
        <v>0</v>
      </c>
      <c r="L198" s="189">
        <v>0</v>
      </c>
      <c r="M198" s="189">
        <v>0</v>
      </c>
      <c r="N198" s="15">
        <f t="shared" si="10"/>
        <v>0</v>
      </c>
      <c r="O198" s="190">
        <v>0</v>
      </c>
      <c r="P198" s="15">
        <v>1950.5</v>
      </c>
      <c r="Q198" s="190">
        <v>0</v>
      </c>
      <c r="R198" s="189">
        <v>0</v>
      </c>
      <c r="S198" s="189">
        <v>0</v>
      </c>
      <c r="T198" s="190">
        <v>0</v>
      </c>
      <c r="U198" s="15">
        <f t="shared" si="11"/>
        <v>1950.5</v>
      </c>
      <c r="V198" s="16">
        <f t="shared" si="9"/>
        <v>0</v>
      </c>
      <c r="W198" s="16">
        <f>N198+O198-'додаток сесія_2024_2028_161 (2'!O198</f>
        <v>0</v>
      </c>
    </row>
    <row r="199" spans="1:23" s="17" customFormat="1" ht="72" hidden="1" customHeight="1" x14ac:dyDescent="0.2">
      <c r="A199" s="94"/>
      <c r="B199" s="92"/>
      <c r="C199" s="105" t="s">
        <v>421</v>
      </c>
      <c r="D199" s="106" t="s">
        <v>88</v>
      </c>
      <c r="E199" s="482"/>
      <c r="F199" s="337" t="s">
        <v>13</v>
      </c>
      <c r="G199" s="190">
        <v>0</v>
      </c>
      <c r="H199" s="190">
        <v>0</v>
      </c>
      <c r="I199" s="190">
        <v>0</v>
      </c>
      <c r="J199" s="190">
        <v>0</v>
      </c>
      <c r="K199" s="190">
        <v>0</v>
      </c>
      <c r="L199" s="189">
        <v>0</v>
      </c>
      <c r="M199" s="189">
        <v>0</v>
      </c>
      <c r="N199" s="15">
        <f t="shared" si="10"/>
        <v>0</v>
      </c>
      <c r="O199" s="190">
        <v>0</v>
      </c>
      <c r="P199" s="15">
        <v>0</v>
      </c>
      <c r="Q199" s="190">
        <v>120</v>
      </c>
      <c r="R199" s="189">
        <v>0</v>
      </c>
      <c r="S199" s="189">
        <v>0</v>
      </c>
      <c r="T199" s="190">
        <v>0</v>
      </c>
      <c r="U199" s="15">
        <f t="shared" si="11"/>
        <v>120</v>
      </c>
      <c r="V199" s="16">
        <f t="shared" si="9"/>
        <v>0</v>
      </c>
      <c r="W199" s="16">
        <f>N199+O199-'додаток сесія_2024_2028_161 (2'!O199</f>
        <v>0</v>
      </c>
    </row>
    <row r="200" spans="1:23" s="17" customFormat="1" ht="57" hidden="1" customHeight="1" x14ac:dyDescent="0.2">
      <c r="A200" s="94"/>
      <c r="B200" s="92"/>
      <c r="C200" s="105" t="s">
        <v>378</v>
      </c>
      <c r="D200" s="106" t="s">
        <v>88</v>
      </c>
      <c r="E200" s="482"/>
      <c r="F200" s="337" t="s">
        <v>13</v>
      </c>
      <c r="G200" s="190">
        <v>0</v>
      </c>
      <c r="H200" s="190">
        <v>0</v>
      </c>
      <c r="I200" s="190">
        <v>0</v>
      </c>
      <c r="J200" s="190">
        <v>0</v>
      </c>
      <c r="K200" s="190">
        <v>0</v>
      </c>
      <c r="L200" s="189">
        <v>0</v>
      </c>
      <c r="M200" s="189">
        <v>0</v>
      </c>
      <c r="N200" s="15">
        <f t="shared" si="10"/>
        <v>0</v>
      </c>
      <c r="O200" s="190">
        <v>0</v>
      </c>
      <c r="P200" s="15">
        <v>0</v>
      </c>
      <c r="Q200" s="190">
        <v>2280</v>
      </c>
      <c r="R200" s="189">
        <v>0</v>
      </c>
      <c r="S200" s="189">
        <v>0</v>
      </c>
      <c r="T200" s="190">
        <v>0</v>
      </c>
      <c r="U200" s="15">
        <f t="shared" si="11"/>
        <v>2280</v>
      </c>
      <c r="V200" s="16">
        <f t="shared" si="9"/>
        <v>0</v>
      </c>
      <c r="W200" s="16">
        <f>N200+O200-'додаток сесія_2024_2028_161 (2'!O200</f>
        <v>0</v>
      </c>
    </row>
    <row r="201" spans="1:23" s="17" customFormat="1" ht="69" hidden="1" customHeight="1" x14ac:dyDescent="0.2">
      <c r="A201" s="94"/>
      <c r="B201" s="92"/>
      <c r="C201" s="105" t="s">
        <v>436</v>
      </c>
      <c r="D201" s="106" t="s">
        <v>88</v>
      </c>
      <c r="E201" s="482"/>
      <c r="F201" s="337" t="s">
        <v>13</v>
      </c>
      <c r="G201" s="190">
        <v>0</v>
      </c>
      <c r="H201" s="190">
        <v>0</v>
      </c>
      <c r="I201" s="190">
        <v>0</v>
      </c>
      <c r="J201" s="190">
        <v>0</v>
      </c>
      <c r="K201" s="190">
        <v>0</v>
      </c>
      <c r="L201" s="189">
        <v>0</v>
      </c>
      <c r="M201" s="189">
        <v>0</v>
      </c>
      <c r="N201" s="15">
        <f t="shared" si="10"/>
        <v>0</v>
      </c>
      <c r="O201" s="190">
        <v>0</v>
      </c>
      <c r="P201" s="15">
        <v>0</v>
      </c>
      <c r="Q201" s="190">
        <v>120</v>
      </c>
      <c r="R201" s="189">
        <v>0</v>
      </c>
      <c r="S201" s="189">
        <v>0</v>
      </c>
      <c r="T201" s="190">
        <v>0</v>
      </c>
      <c r="U201" s="15">
        <f t="shared" si="11"/>
        <v>120</v>
      </c>
      <c r="V201" s="16">
        <f t="shared" si="9"/>
        <v>0</v>
      </c>
      <c r="W201" s="16">
        <f>N201+O201-'додаток сесія_2024_2028_161 (2'!O201</f>
        <v>0</v>
      </c>
    </row>
    <row r="202" spans="1:23" s="17" customFormat="1" ht="69" hidden="1" customHeight="1" x14ac:dyDescent="0.2">
      <c r="A202" s="94"/>
      <c r="B202" s="92"/>
      <c r="C202" s="105" t="s">
        <v>393</v>
      </c>
      <c r="D202" s="106" t="s">
        <v>88</v>
      </c>
      <c r="E202" s="482"/>
      <c r="F202" s="337" t="s">
        <v>13</v>
      </c>
      <c r="G202" s="190">
        <v>0</v>
      </c>
      <c r="H202" s="190">
        <v>0</v>
      </c>
      <c r="I202" s="190">
        <v>0</v>
      </c>
      <c r="J202" s="190">
        <v>0</v>
      </c>
      <c r="K202" s="190">
        <v>0</v>
      </c>
      <c r="L202" s="189">
        <v>0</v>
      </c>
      <c r="M202" s="189">
        <v>0</v>
      </c>
      <c r="N202" s="15">
        <f t="shared" si="10"/>
        <v>0</v>
      </c>
      <c r="O202" s="190">
        <v>0</v>
      </c>
      <c r="P202" s="15">
        <v>0</v>
      </c>
      <c r="Q202" s="190">
        <v>2380</v>
      </c>
      <c r="R202" s="189">
        <v>0</v>
      </c>
      <c r="S202" s="189">
        <v>0</v>
      </c>
      <c r="T202" s="190">
        <v>0</v>
      </c>
      <c r="U202" s="15">
        <f t="shared" si="11"/>
        <v>2380</v>
      </c>
      <c r="V202" s="16">
        <f t="shared" si="9"/>
        <v>0</v>
      </c>
      <c r="W202" s="16">
        <f>N202+O202-'додаток сесія_2024_2028_161 (2'!O202</f>
        <v>0</v>
      </c>
    </row>
    <row r="203" spans="1:23" s="17" customFormat="1" ht="56.25" hidden="1" customHeight="1" x14ac:dyDescent="0.2">
      <c r="A203" s="94"/>
      <c r="B203" s="92"/>
      <c r="C203" s="105" t="s">
        <v>428</v>
      </c>
      <c r="D203" s="106" t="s">
        <v>88</v>
      </c>
      <c r="E203" s="482"/>
      <c r="F203" s="337" t="s">
        <v>13</v>
      </c>
      <c r="G203" s="190">
        <v>0</v>
      </c>
      <c r="H203" s="190">
        <v>0</v>
      </c>
      <c r="I203" s="190">
        <v>0</v>
      </c>
      <c r="J203" s="190">
        <v>0</v>
      </c>
      <c r="K203" s="190">
        <v>0</v>
      </c>
      <c r="L203" s="189">
        <v>0</v>
      </c>
      <c r="M203" s="189">
        <v>0</v>
      </c>
      <c r="N203" s="15">
        <f t="shared" si="10"/>
        <v>0</v>
      </c>
      <c r="O203" s="190">
        <v>0</v>
      </c>
      <c r="P203" s="189">
        <v>0</v>
      </c>
      <c r="Q203" s="190">
        <v>0</v>
      </c>
      <c r="R203" s="189">
        <v>370</v>
      </c>
      <c r="S203" s="189">
        <v>0</v>
      </c>
      <c r="T203" s="190">
        <v>0</v>
      </c>
      <c r="U203" s="15">
        <f t="shared" si="11"/>
        <v>370</v>
      </c>
      <c r="V203" s="16">
        <f t="shared" si="9"/>
        <v>0</v>
      </c>
      <c r="W203" s="16">
        <f>N203+O203-'додаток сесія_2024_2028_161 (2'!O203</f>
        <v>0</v>
      </c>
    </row>
    <row r="204" spans="1:23" s="17" customFormat="1" ht="56.25" hidden="1" customHeight="1" x14ac:dyDescent="0.2">
      <c r="A204" s="94"/>
      <c r="B204" s="92"/>
      <c r="C204" s="83" t="s">
        <v>435</v>
      </c>
      <c r="D204" s="106" t="s">
        <v>88</v>
      </c>
      <c r="E204" s="482"/>
      <c r="F204" s="337" t="s">
        <v>13</v>
      </c>
      <c r="G204" s="190">
        <v>0</v>
      </c>
      <c r="H204" s="190">
        <v>0</v>
      </c>
      <c r="I204" s="190">
        <v>0</v>
      </c>
      <c r="J204" s="190">
        <v>0</v>
      </c>
      <c r="K204" s="190">
        <v>0</v>
      </c>
      <c r="L204" s="189">
        <v>0</v>
      </c>
      <c r="M204" s="189">
        <v>0</v>
      </c>
      <c r="N204" s="15">
        <f t="shared" si="10"/>
        <v>0</v>
      </c>
      <c r="O204" s="190">
        <v>0</v>
      </c>
      <c r="P204" s="189">
        <v>0</v>
      </c>
      <c r="Q204" s="190">
        <v>0</v>
      </c>
      <c r="R204" s="15">
        <v>10622.3</v>
      </c>
      <c r="S204" s="189">
        <v>0</v>
      </c>
      <c r="T204" s="190">
        <v>0</v>
      </c>
      <c r="U204" s="15">
        <f t="shared" si="11"/>
        <v>10622.3</v>
      </c>
      <c r="V204" s="16">
        <f t="shared" ref="V204:V243" si="12">G204+H204+I204+J204+K204+L204+M204+O204+P204+Q204+R204+S204+T204-U204</f>
        <v>0</v>
      </c>
      <c r="W204" s="16">
        <f>N204+O204-'додаток сесія_2024_2028_161 (2'!O204</f>
        <v>0</v>
      </c>
    </row>
    <row r="205" spans="1:23" s="17" customFormat="1" ht="56.25" hidden="1" customHeight="1" x14ac:dyDescent="0.2">
      <c r="A205" s="94"/>
      <c r="B205" s="92"/>
      <c r="C205" s="85" t="s">
        <v>422</v>
      </c>
      <c r="D205" s="104" t="s">
        <v>88</v>
      </c>
      <c r="E205" s="482"/>
      <c r="F205" s="337" t="s">
        <v>13</v>
      </c>
      <c r="G205" s="190">
        <v>0</v>
      </c>
      <c r="H205" s="190">
        <v>0</v>
      </c>
      <c r="I205" s="190">
        <v>0</v>
      </c>
      <c r="J205" s="190">
        <v>0</v>
      </c>
      <c r="K205" s="190">
        <v>0</v>
      </c>
      <c r="L205" s="189">
        <v>0</v>
      </c>
      <c r="M205" s="189">
        <v>0</v>
      </c>
      <c r="N205" s="15">
        <f t="shared" ref="N205:N242" si="13">G205+H205+I205+J205+K205+L205+M205</f>
        <v>0</v>
      </c>
      <c r="O205" s="190">
        <v>0</v>
      </c>
      <c r="P205" s="189">
        <v>0</v>
      </c>
      <c r="Q205" s="190">
        <v>0</v>
      </c>
      <c r="R205" s="189">
        <v>0</v>
      </c>
      <c r="S205" s="189">
        <v>265</v>
      </c>
      <c r="T205" s="190">
        <v>0</v>
      </c>
      <c r="U205" s="15">
        <f t="shared" si="11"/>
        <v>265</v>
      </c>
      <c r="V205" s="16">
        <f t="shared" si="12"/>
        <v>0</v>
      </c>
      <c r="W205" s="16">
        <f>N205+O205-'додаток сесія_2024_2028_161 (2'!O205</f>
        <v>0</v>
      </c>
    </row>
    <row r="206" spans="1:23" s="17" customFormat="1" ht="55.5" hidden="1" customHeight="1" x14ac:dyDescent="0.2">
      <c r="A206" s="94"/>
      <c r="B206" s="92"/>
      <c r="C206" s="105" t="s">
        <v>423</v>
      </c>
      <c r="D206" s="106" t="s">
        <v>88</v>
      </c>
      <c r="E206" s="482"/>
      <c r="F206" s="337" t="s">
        <v>13</v>
      </c>
      <c r="G206" s="190">
        <v>0</v>
      </c>
      <c r="H206" s="190">
        <v>0</v>
      </c>
      <c r="I206" s="190">
        <v>0</v>
      </c>
      <c r="J206" s="190">
        <v>0</v>
      </c>
      <c r="K206" s="190">
        <v>0</v>
      </c>
      <c r="L206" s="189">
        <v>0</v>
      </c>
      <c r="M206" s="189">
        <v>0</v>
      </c>
      <c r="N206" s="15">
        <f t="shared" si="13"/>
        <v>0</v>
      </c>
      <c r="O206" s="190">
        <v>0</v>
      </c>
      <c r="P206" s="189">
        <v>0</v>
      </c>
      <c r="Q206" s="190">
        <v>0</v>
      </c>
      <c r="R206" s="189">
        <v>0</v>
      </c>
      <c r="S206" s="189">
        <v>0</v>
      </c>
      <c r="T206" s="189">
        <v>770</v>
      </c>
      <c r="U206" s="15">
        <f t="shared" si="11"/>
        <v>770</v>
      </c>
      <c r="V206" s="16">
        <f t="shared" si="12"/>
        <v>0</v>
      </c>
      <c r="W206" s="16">
        <f>N206+O206-'додаток сесія_2024_2028_161 (2'!O206</f>
        <v>0</v>
      </c>
    </row>
    <row r="207" spans="1:23" s="17" customFormat="1" ht="42" hidden="1" customHeight="1" x14ac:dyDescent="0.2">
      <c r="A207" s="94"/>
      <c r="B207" s="92"/>
      <c r="C207" s="105" t="s">
        <v>424</v>
      </c>
      <c r="D207" s="106" t="s">
        <v>88</v>
      </c>
      <c r="E207" s="482"/>
      <c r="F207" s="337" t="s">
        <v>13</v>
      </c>
      <c r="G207" s="190">
        <v>0</v>
      </c>
      <c r="H207" s="190">
        <v>0</v>
      </c>
      <c r="I207" s="190">
        <v>0</v>
      </c>
      <c r="J207" s="190">
        <v>0</v>
      </c>
      <c r="K207" s="190">
        <v>0</v>
      </c>
      <c r="L207" s="189">
        <v>0</v>
      </c>
      <c r="M207" s="189">
        <v>0</v>
      </c>
      <c r="N207" s="15">
        <f t="shared" si="13"/>
        <v>0</v>
      </c>
      <c r="O207" s="190">
        <v>0</v>
      </c>
      <c r="P207" s="189">
        <v>0</v>
      </c>
      <c r="Q207" s="190">
        <v>0</v>
      </c>
      <c r="R207" s="190">
        <v>0</v>
      </c>
      <c r="S207" s="15">
        <v>845</v>
      </c>
      <c r="T207" s="190">
        <v>0</v>
      </c>
      <c r="U207" s="15">
        <f t="shared" si="11"/>
        <v>845</v>
      </c>
      <c r="V207" s="16">
        <f t="shared" si="12"/>
        <v>0</v>
      </c>
      <c r="W207" s="16">
        <f>N207+O207-'додаток сесія_2024_2028_161 (2'!O207</f>
        <v>0</v>
      </c>
    </row>
    <row r="208" spans="1:23" s="17" customFormat="1" ht="41.25" hidden="1" customHeight="1" x14ac:dyDescent="0.2">
      <c r="A208" s="94"/>
      <c r="B208" s="92"/>
      <c r="C208" s="105" t="s">
        <v>380</v>
      </c>
      <c r="D208" s="106" t="s">
        <v>88</v>
      </c>
      <c r="E208" s="482"/>
      <c r="F208" s="337" t="s">
        <v>13</v>
      </c>
      <c r="G208" s="190">
        <v>0</v>
      </c>
      <c r="H208" s="190">
        <v>0</v>
      </c>
      <c r="I208" s="190">
        <v>0</v>
      </c>
      <c r="J208" s="190">
        <v>0</v>
      </c>
      <c r="K208" s="190">
        <v>0</v>
      </c>
      <c r="L208" s="189">
        <v>0</v>
      </c>
      <c r="M208" s="189">
        <v>0</v>
      </c>
      <c r="N208" s="15">
        <f t="shared" si="13"/>
        <v>0</v>
      </c>
      <c r="O208" s="190">
        <v>0</v>
      </c>
      <c r="P208" s="189">
        <v>0</v>
      </c>
      <c r="Q208" s="190">
        <v>0</v>
      </c>
      <c r="R208" s="190">
        <v>0</v>
      </c>
      <c r="S208" s="15">
        <v>1340</v>
      </c>
      <c r="T208" s="190">
        <v>0</v>
      </c>
      <c r="U208" s="15">
        <f t="shared" si="11"/>
        <v>1340</v>
      </c>
      <c r="V208" s="16">
        <f t="shared" si="12"/>
        <v>0</v>
      </c>
      <c r="W208" s="16">
        <f>N208+O208-'додаток сесія_2024_2028_161 (2'!O208</f>
        <v>0</v>
      </c>
    </row>
    <row r="209" spans="1:23" s="17" customFormat="1" ht="41.25" hidden="1" customHeight="1" x14ac:dyDescent="0.2">
      <c r="A209" s="94"/>
      <c r="B209" s="92"/>
      <c r="C209" s="105" t="s">
        <v>381</v>
      </c>
      <c r="D209" s="106" t="s">
        <v>88</v>
      </c>
      <c r="E209" s="482"/>
      <c r="F209" s="337" t="s">
        <v>13</v>
      </c>
      <c r="G209" s="190">
        <v>0</v>
      </c>
      <c r="H209" s="190">
        <v>0</v>
      </c>
      <c r="I209" s="190">
        <v>0</v>
      </c>
      <c r="J209" s="190">
        <v>0</v>
      </c>
      <c r="K209" s="190">
        <v>0</v>
      </c>
      <c r="L209" s="189">
        <v>0</v>
      </c>
      <c r="M209" s="189">
        <v>0</v>
      </c>
      <c r="N209" s="15">
        <f t="shared" si="13"/>
        <v>0</v>
      </c>
      <c r="O209" s="190">
        <v>0</v>
      </c>
      <c r="P209" s="189">
        <v>0</v>
      </c>
      <c r="Q209" s="190">
        <v>0</v>
      </c>
      <c r="R209" s="190">
        <v>0</v>
      </c>
      <c r="S209" s="190">
        <v>0</v>
      </c>
      <c r="T209" s="15">
        <v>890</v>
      </c>
      <c r="U209" s="15">
        <f t="shared" ref="U209:U214" si="14">SUM(G209:T209)-N209</f>
        <v>890</v>
      </c>
      <c r="V209" s="16">
        <f t="shared" si="12"/>
        <v>0</v>
      </c>
      <c r="W209" s="16">
        <f>N209+O209-'додаток сесія_2024_2028_161 (2'!O209</f>
        <v>0</v>
      </c>
    </row>
    <row r="210" spans="1:23" s="17" customFormat="1" ht="46.5" hidden="1" customHeight="1" x14ac:dyDescent="0.2">
      <c r="A210" s="94"/>
      <c r="B210" s="92"/>
      <c r="C210" s="105" t="s">
        <v>382</v>
      </c>
      <c r="D210" s="106" t="s">
        <v>88</v>
      </c>
      <c r="E210" s="482"/>
      <c r="F210" s="337" t="s">
        <v>13</v>
      </c>
      <c r="G210" s="190">
        <v>0</v>
      </c>
      <c r="H210" s="190">
        <v>0</v>
      </c>
      <c r="I210" s="190">
        <v>0</v>
      </c>
      <c r="J210" s="190">
        <v>0</v>
      </c>
      <c r="K210" s="190">
        <v>0</v>
      </c>
      <c r="L210" s="189">
        <v>0</v>
      </c>
      <c r="M210" s="189">
        <v>0</v>
      </c>
      <c r="N210" s="15">
        <f t="shared" si="13"/>
        <v>0</v>
      </c>
      <c r="O210" s="190">
        <v>0</v>
      </c>
      <c r="P210" s="189">
        <v>0</v>
      </c>
      <c r="Q210" s="190">
        <v>0</v>
      </c>
      <c r="R210" s="190">
        <v>0</v>
      </c>
      <c r="S210" s="190">
        <v>0</v>
      </c>
      <c r="T210" s="15">
        <v>2460</v>
      </c>
      <c r="U210" s="15">
        <f t="shared" si="14"/>
        <v>2460</v>
      </c>
      <c r="V210" s="16">
        <f t="shared" si="12"/>
        <v>0</v>
      </c>
      <c r="W210" s="16">
        <f>N210+O210-'додаток сесія_2024_2028_161 (2'!O210</f>
        <v>0</v>
      </c>
    </row>
    <row r="211" spans="1:23" s="17" customFormat="1" ht="57" hidden="1" customHeight="1" x14ac:dyDescent="0.2">
      <c r="A211" s="94"/>
      <c r="B211" s="92"/>
      <c r="C211" s="105" t="s">
        <v>425</v>
      </c>
      <c r="D211" s="106" t="s">
        <v>88</v>
      </c>
      <c r="E211" s="482"/>
      <c r="F211" s="337" t="s">
        <v>13</v>
      </c>
      <c r="G211" s="190">
        <v>0</v>
      </c>
      <c r="H211" s="190">
        <v>0</v>
      </c>
      <c r="I211" s="190">
        <v>0</v>
      </c>
      <c r="J211" s="190">
        <v>0</v>
      </c>
      <c r="K211" s="190">
        <v>0</v>
      </c>
      <c r="L211" s="189">
        <v>0</v>
      </c>
      <c r="M211" s="189">
        <v>0</v>
      </c>
      <c r="N211" s="15">
        <f t="shared" si="13"/>
        <v>0</v>
      </c>
      <c r="O211" s="190">
        <v>0</v>
      </c>
      <c r="P211" s="189">
        <v>0</v>
      </c>
      <c r="Q211" s="190">
        <v>0</v>
      </c>
      <c r="R211" s="15">
        <v>930</v>
      </c>
      <c r="S211" s="189">
        <v>0</v>
      </c>
      <c r="T211" s="190">
        <v>0</v>
      </c>
      <c r="U211" s="15">
        <f t="shared" si="14"/>
        <v>930</v>
      </c>
      <c r="V211" s="16">
        <f t="shared" si="12"/>
        <v>0</v>
      </c>
      <c r="W211" s="16">
        <f>N211+O211-'додаток сесія_2024_2028_161 (2'!O211</f>
        <v>0</v>
      </c>
    </row>
    <row r="212" spans="1:23" s="17" customFormat="1" ht="69.75" hidden="1" customHeight="1" x14ac:dyDescent="0.2">
      <c r="A212" s="94"/>
      <c r="B212" s="92"/>
      <c r="C212" s="105" t="s">
        <v>426</v>
      </c>
      <c r="D212" s="106" t="s">
        <v>88</v>
      </c>
      <c r="E212" s="482"/>
      <c r="F212" s="337" t="s">
        <v>13</v>
      </c>
      <c r="G212" s="190">
        <v>0</v>
      </c>
      <c r="H212" s="190">
        <v>0</v>
      </c>
      <c r="I212" s="190">
        <v>0</v>
      </c>
      <c r="J212" s="190">
        <v>0</v>
      </c>
      <c r="K212" s="190">
        <v>0</v>
      </c>
      <c r="L212" s="189">
        <v>0</v>
      </c>
      <c r="M212" s="189">
        <v>0</v>
      </c>
      <c r="N212" s="15">
        <f t="shared" si="13"/>
        <v>0</v>
      </c>
      <c r="O212" s="190">
        <v>0</v>
      </c>
      <c r="P212" s="189">
        <v>0</v>
      </c>
      <c r="Q212" s="190">
        <v>0</v>
      </c>
      <c r="R212" s="190">
        <v>0</v>
      </c>
      <c r="S212" s="15">
        <v>9500</v>
      </c>
      <c r="T212" s="190">
        <v>0</v>
      </c>
      <c r="U212" s="15">
        <f t="shared" si="14"/>
        <v>9500</v>
      </c>
      <c r="V212" s="16">
        <f t="shared" si="12"/>
        <v>0</v>
      </c>
      <c r="W212" s="16">
        <f>N212+O212-'додаток сесія_2024_2028_161 (2'!O212</f>
        <v>0</v>
      </c>
    </row>
    <row r="213" spans="1:23" s="17" customFormat="1" ht="56.25" hidden="1" customHeight="1" x14ac:dyDescent="0.2">
      <c r="A213" s="399"/>
      <c r="B213" s="400"/>
      <c r="C213" s="83" t="s">
        <v>427</v>
      </c>
      <c r="D213" s="394" t="s">
        <v>88</v>
      </c>
      <c r="E213" s="335"/>
      <c r="F213" s="337" t="s">
        <v>13</v>
      </c>
      <c r="G213" s="190">
        <v>0</v>
      </c>
      <c r="H213" s="190">
        <v>0</v>
      </c>
      <c r="I213" s="190">
        <v>0</v>
      </c>
      <c r="J213" s="190">
        <v>0</v>
      </c>
      <c r="K213" s="190">
        <v>0</v>
      </c>
      <c r="L213" s="189">
        <v>0</v>
      </c>
      <c r="M213" s="189">
        <v>0</v>
      </c>
      <c r="N213" s="15">
        <f t="shared" si="13"/>
        <v>0</v>
      </c>
      <c r="O213" s="190">
        <v>0</v>
      </c>
      <c r="P213" s="189">
        <v>0</v>
      </c>
      <c r="Q213" s="190">
        <v>0</v>
      </c>
      <c r="R213" s="190">
        <v>0</v>
      </c>
      <c r="S213" s="15">
        <v>980</v>
      </c>
      <c r="T213" s="190">
        <v>0</v>
      </c>
      <c r="U213" s="15">
        <f t="shared" si="14"/>
        <v>980</v>
      </c>
      <c r="V213" s="16">
        <f t="shared" si="12"/>
        <v>0</v>
      </c>
      <c r="W213" s="16">
        <f>N213+O213-'додаток сесія_2024_2028_161 (2'!O213</f>
        <v>0</v>
      </c>
    </row>
    <row r="214" spans="1:23" s="17" customFormat="1" ht="70.5" hidden="1" customHeight="1" x14ac:dyDescent="0.2">
      <c r="A214" s="334"/>
      <c r="B214" s="335"/>
      <c r="C214" s="374" t="s">
        <v>385</v>
      </c>
      <c r="D214" s="391" t="s">
        <v>88</v>
      </c>
      <c r="E214" s="490"/>
      <c r="F214" s="337" t="s">
        <v>13</v>
      </c>
      <c r="G214" s="190">
        <v>0</v>
      </c>
      <c r="H214" s="190">
        <v>0</v>
      </c>
      <c r="I214" s="190">
        <v>0</v>
      </c>
      <c r="J214" s="190">
        <v>0</v>
      </c>
      <c r="K214" s="190">
        <v>0</v>
      </c>
      <c r="L214" s="189">
        <v>0</v>
      </c>
      <c r="M214" s="189">
        <v>0</v>
      </c>
      <c r="N214" s="15">
        <f t="shared" si="13"/>
        <v>0</v>
      </c>
      <c r="O214" s="190">
        <v>0</v>
      </c>
      <c r="P214" s="189">
        <v>0</v>
      </c>
      <c r="Q214" s="190">
        <v>0</v>
      </c>
      <c r="R214" s="189">
        <v>0</v>
      </c>
      <c r="S214" s="190">
        <v>0</v>
      </c>
      <c r="T214" s="15">
        <v>10050</v>
      </c>
      <c r="U214" s="15">
        <f t="shared" si="14"/>
        <v>10050</v>
      </c>
      <c r="V214" s="16">
        <f t="shared" si="12"/>
        <v>0</v>
      </c>
      <c r="W214" s="16">
        <f>N214+O214-'додаток сесія_2024_2028_161 (2'!O214</f>
        <v>0</v>
      </c>
    </row>
    <row r="215" spans="1:23" s="17" customFormat="1" ht="45.75" hidden="1" customHeight="1" x14ac:dyDescent="0.2">
      <c r="A215" s="94"/>
      <c r="B215" s="92"/>
      <c r="C215" s="105" t="s">
        <v>208</v>
      </c>
      <c r="D215" s="106" t="s">
        <v>88</v>
      </c>
      <c r="E215" s="482"/>
      <c r="F215" s="337" t="s">
        <v>13</v>
      </c>
      <c r="G215" s="190">
        <v>0</v>
      </c>
      <c r="H215" s="190">
        <v>0</v>
      </c>
      <c r="I215" s="190">
        <v>0</v>
      </c>
      <c r="J215" s="190">
        <v>0</v>
      </c>
      <c r="K215" s="190">
        <v>0</v>
      </c>
      <c r="L215" s="189">
        <v>0</v>
      </c>
      <c r="M215" s="189">
        <v>0</v>
      </c>
      <c r="N215" s="15">
        <f t="shared" si="13"/>
        <v>0</v>
      </c>
      <c r="O215" s="190">
        <v>0</v>
      </c>
      <c r="P215" s="15">
        <v>619</v>
      </c>
      <c r="Q215" s="190">
        <v>0</v>
      </c>
      <c r="R215" s="190">
        <v>0</v>
      </c>
      <c r="S215" s="189">
        <v>0</v>
      </c>
      <c r="T215" s="189">
        <v>0</v>
      </c>
      <c r="U215" s="15">
        <f>SUM(G215:T215)-N215</f>
        <v>619</v>
      </c>
      <c r="V215" s="16">
        <f t="shared" si="12"/>
        <v>0</v>
      </c>
      <c r="W215" s="16">
        <f>N215+O215-'додаток сесія_2024_2028_161 (2'!O215</f>
        <v>0</v>
      </c>
    </row>
    <row r="216" spans="1:23" ht="36.75" hidden="1" customHeight="1" x14ac:dyDescent="0.2">
      <c r="A216" s="569" t="s">
        <v>91</v>
      </c>
      <c r="B216" s="570"/>
      <c r="C216" s="571"/>
      <c r="D216" s="572"/>
      <c r="E216" s="573"/>
      <c r="F216" s="489" t="s">
        <v>124</v>
      </c>
      <c r="G216" s="191">
        <f>SUM(G80:G169)</f>
        <v>138423.32</v>
      </c>
      <c r="H216" s="191">
        <f>SUM(H80:H169)</f>
        <v>204758.1</v>
      </c>
      <c r="I216" s="191">
        <f>SUM(I80:I169)</f>
        <v>220709</v>
      </c>
      <c r="J216" s="191">
        <f t="shared" ref="J216:U216" si="15">SUM(J80:J215)</f>
        <v>313192.90000000002</v>
      </c>
      <c r="K216" s="191">
        <f t="shared" si="15"/>
        <v>421613.6</v>
      </c>
      <c r="L216" s="191">
        <f t="shared" si="15"/>
        <v>1308589.8</v>
      </c>
      <c r="M216" s="191">
        <f t="shared" si="15"/>
        <v>1406025</v>
      </c>
      <c r="N216" s="191">
        <f t="shared" si="15"/>
        <v>4013311.72</v>
      </c>
      <c r="O216" s="191">
        <f t="shared" si="15"/>
        <v>1203878.7</v>
      </c>
      <c r="P216" s="191">
        <f t="shared" si="15"/>
        <v>799633.3</v>
      </c>
      <c r="Q216" s="191">
        <f t="shared" si="15"/>
        <v>1555427.01</v>
      </c>
      <c r="R216" s="191">
        <f t="shared" si="15"/>
        <v>1165102.8155799999</v>
      </c>
      <c r="S216" s="191">
        <f t="shared" si="15"/>
        <v>1309785.47828364</v>
      </c>
      <c r="T216" s="191">
        <f t="shared" si="15"/>
        <v>1420277.1948240912</v>
      </c>
      <c r="U216" s="191">
        <f t="shared" si="15"/>
        <v>11467416.218687735</v>
      </c>
      <c r="V216" s="107">
        <f t="shared" si="12"/>
        <v>0</v>
      </c>
      <c r="W216" s="16">
        <f>N216+O216-'додаток сесія_2024_2028_161 (2'!O216</f>
        <v>0</v>
      </c>
    </row>
    <row r="217" spans="1:23" ht="52.5" hidden="1" customHeight="1" x14ac:dyDescent="0.2">
      <c r="A217" s="498">
        <v>3</v>
      </c>
      <c r="B217" s="559" t="s">
        <v>209</v>
      </c>
      <c r="C217" s="109" t="s">
        <v>210</v>
      </c>
      <c r="D217" s="110" t="s">
        <v>61</v>
      </c>
      <c r="E217" s="561" t="s">
        <v>211</v>
      </c>
      <c r="F217" s="143" t="s">
        <v>13</v>
      </c>
      <c r="G217" s="115">
        <v>0</v>
      </c>
      <c r="H217" s="115">
        <v>0</v>
      </c>
      <c r="I217" s="115">
        <v>0</v>
      </c>
      <c r="J217" s="115">
        <v>4059.9</v>
      </c>
      <c r="K217" s="115">
        <v>20246.5</v>
      </c>
      <c r="L217" s="115">
        <v>48490</v>
      </c>
      <c r="M217" s="115">
        <v>51250</v>
      </c>
      <c r="N217" s="15">
        <f t="shared" si="13"/>
        <v>124046.39999999999</v>
      </c>
      <c r="O217" s="115">
        <f>53650-10623.9</f>
        <v>43026.1</v>
      </c>
      <c r="P217" s="115">
        <v>0</v>
      </c>
      <c r="Q217" s="115">
        <v>0</v>
      </c>
      <c r="R217" s="115">
        <v>0</v>
      </c>
      <c r="S217" s="115">
        <v>0</v>
      </c>
      <c r="T217" s="115">
        <v>0</v>
      </c>
      <c r="U217" s="115">
        <f>SUM(G217:T217)-N217</f>
        <v>167072.49999999997</v>
      </c>
      <c r="V217" s="107">
        <f t="shared" si="12"/>
        <v>0</v>
      </c>
      <c r="W217" s="16">
        <f>N217+O217-'додаток сесія_2024_2028_161 (2'!O217</f>
        <v>0</v>
      </c>
    </row>
    <row r="218" spans="1:23" ht="44.25" hidden="1" customHeight="1" x14ac:dyDescent="0.2">
      <c r="A218" s="499"/>
      <c r="B218" s="560"/>
      <c r="C218" s="113" t="s">
        <v>212</v>
      </c>
      <c r="D218" s="114" t="s">
        <v>71</v>
      </c>
      <c r="E218" s="562"/>
      <c r="F218" s="293" t="s">
        <v>213</v>
      </c>
      <c r="G218" s="115">
        <v>0</v>
      </c>
      <c r="H218" s="115">
        <v>0</v>
      </c>
      <c r="I218" s="115">
        <v>0</v>
      </c>
      <c r="J218" s="115">
        <v>0</v>
      </c>
      <c r="K218" s="115">
        <v>0</v>
      </c>
      <c r="L218" s="115">
        <v>0</v>
      </c>
      <c r="M218" s="115"/>
      <c r="N218" s="15">
        <f t="shared" si="13"/>
        <v>0</v>
      </c>
      <c r="O218" s="115"/>
      <c r="P218" s="115"/>
      <c r="Q218" s="115"/>
      <c r="R218" s="115"/>
      <c r="S218" s="115"/>
      <c r="T218" s="115"/>
      <c r="U218" s="115" t="e">
        <f>SUM(G218:T218)-#REF!</f>
        <v>#REF!</v>
      </c>
      <c r="V218" s="107" t="e">
        <f t="shared" si="12"/>
        <v>#REF!</v>
      </c>
      <c r="W218" s="16">
        <f>N218+O218-'додаток сесія_2024_2028_161 (2'!O218</f>
        <v>0</v>
      </c>
    </row>
    <row r="219" spans="1:23" ht="44.25" hidden="1" customHeight="1" x14ac:dyDescent="0.2">
      <c r="A219" s="499"/>
      <c r="B219" s="560"/>
      <c r="C219" s="116" t="s">
        <v>214</v>
      </c>
      <c r="D219" s="114" t="s">
        <v>71</v>
      </c>
      <c r="E219" s="562"/>
      <c r="F219" s="293" t="s">
        <v>213</v>
      </c>
      <c r="G219" s="115">
        <v>0</v>
      </c>
      <c r="H219" s="115">
        <v>0</v>
      </c>
      <c r="I219" s="115">
        <v>0</v>
      </c>
      <c r="J219" s="115">
        <v>0</v>
      </c>
      <c r="K219" s="115">
        <v>0</v>
      </c>
      <c r="L219" s="115">
        <v>0</v>
      </c>
      <c r="M219" s="115"/>
      <c r="N219" s="15">
        <f t="shared" si="13"/>
        <v>0</v>
      </c>
      <c r="O219" s="115"/>
      <c r="P219" s="115"/>
      <c r="Q219" s="115"/>
      <c r="R219" s="115"/>
      <c r="S219" s="115"/>
      <c r="T219" s="115"/>
      <c r="U219" s="115" t="e">
        <f>SUM(G219:T219)-#REF!</f>
        <v>#REF!</v>
      </c>
      <c r="V219" s="107" t="e">
        <f t="shared" si="12"/>
        <v>#REF!</v>
      </c>
      <c r="W219" s="16">
        <f>N219+O219-'додаток сесія_2024_2028_161 (2'!O219</f>
        <v>0</v>
      </c>
    </row>
    <row r="220" spans="1:23" ht="45" hidden="1" customHeight="1" x14ac:dyDescent="0.2">
      <c r="A220" s="117"/>
      <c r="B220" s="560"/>
      <c r="C220" s="118" t="s">
        <v>215</v>
      </c>
      <c r="D220" s="119" t="s">
        <v>61</v>
      </c>
      <c r="E220" s="562"/>
      <c r="F220" s="143" t="s">
        <v>13</v>
      </c>
      <c r="G220" s="120">
        <v>0</v>
      </c>
      <c r="H220" s="120">
        <v>0</v>
      </c>
      <c r="I220" s="120">
        <v>0</v>
      </c>
      <c r="J220" s="120">
        <v>519.4</v>
      </c>
      <c r="K220" s="120">
        <v>1000</v>
      </c>
      <c r="L220" s="120">
        <v>1000</v>
      </c>
      <c r="M220" s="120">
        <v>1070</v>
      </c>
      <c r="N220" s="15">
        <f t="shared" si="13"/>
        <v>3589.4</v>
      </c>
      <c r="O220" s="120">
        <v>1070</v>
      </c>
      <c r="P220" s="115">
        <v>0</v>
      </c>
      <c r="Q220" s="115">
        <v>0</v>
      </c>
      <c r="R220" s="115">
        <v>0</v>
      </c>
      <c r="S220" s="115">
        <v>0</v>
      </c>
      <c r="T220" s="115">
        <v>0</v>
      </c>
      <c r="U220" s="115">
        <f t="shared" ref="U220:U232" si="16">SUM(G220:T220)-N220</f>
        <v>4659.3999999999996</v>
      </c>
      <c r="V220" s="107">
        <f t="shared" si="12"/>
        <v>0</v>
      </c>
      <c r="W220" s="16">
        <f>N220+O220-'додаток сесія_2024_2028_161 (2'!O220</f>
        <v>0</v>
      </c>
    </row>
    <row r="221" spans="1:23" ht="48.75" hidden="1" customHeight="1" x14ac:dyDescent="0.2">
      <c r="A221" s="117"/>
      <c r="B221" s="560"/>
      <c r="C221" s="121" t="s">
        <v>216</v>
      </c>
      <c r="D221" s="122" t="s">
        <v>68</v>
      </c>
      <c r="E221" s="562" t="s">
        <v>217</v>
      </c>
      <c r="F221" s="143" t="s">
        <v>13</v>
      </c>
      <c r="G221" s="120">
        <v>0</v>
      </c>
      <c r="H221" s="120">
        <v>0</v>
      </c>
      <c r="I221" s="120">
        <v>0</v>
      </c>
      <c r="J221" s="120">
        <v>972</v>
      </c>
      <c r="K221" s="120">
        <v>3900</v>
      </c>
      <c r="L221" s="120">
        <v>0</v>
      </c>
      <c r="M221" s="120">
        <v>0</v>
      </c>
      <c r="N221" s="15">
        <f t="shared" si="13"/>
        <v>4872</v>
      </c>
      <c r="O221" s="120">
        <v>0</v>
      </c>
      <c r="P221" s="115">
        <v>0</v>
      </c>
      <c r="Q221" s="115">
        <v>0</v>
      </c>
      <c r="R221" s="115">
        <v>0</v>
      </c>
      <c r="S221" s="115">
        <v>0</v>
      </c>
      <c r="T221" s="115">
        <v>0</v>
      </c>
      <c r="U221" s="115">
        <f t="shared" si="16"/>
        <v>4872</v>
      </c>
      <c r="V221" s="107">
        <f t="shared" si="12"/>
        <v>0</v>
      </c>
      <c r="W221" s="16">
        <f>N221+O221-'додаток сесія_2024_2028_161 (2'!O221</f>
        <v>0</v>
      </c>
    </row>
    <row r="222" spans="1:23" ht="45.75" hidden="1" customHeight="1" x14ac:dyDescent="0.2">
      <c r="A222" s="124"/>
      <c r="B222" s="560"/>
      <c r="C222" s="126" t="s">
        <v>218</v>
      </c>
      <c r="D222" s="127">
        <v>2020</v>
      </c>
      <c r="E222" s="562"/>
      <c r="F222" s="143" t="s">
        <v>13</v>
      </c>
      <c r="G222" s="120">
        <v>0</v>
      </c>
      <c r="H222" s="120">
        <v>0</v>
      </c>
      <c r="I222" s="120">
        <v>0</v>
      </c>
      <c r="J222" s="120">
        <v>0</v>
      </c>
      <c r="K222" s="120">
        <v>900</v>
      </c>
      <c r="L222" s="120">
        <v>0</v>
      </c>
      <c r="M222" s="120">
        <v>0</v>
      </c>
      <c r="N222" s="15">
        <f t="shared" si="13"/>
        <v>900</v>
      </c>
      <c r="O222" s="120">
        <v>0</v>
      </c>
      <c r="P222" s="115">
        <v>0</v>
      </c>
      <c r="Q222" s="115">
        <v>0</v>
      </c>
      <c r="R222" s="115">
        <v>0</v>
      </c>
      <c r="S222" s="115">
        <v>0</v>
      </c>
      <c r="T222" s="115">
        <v>0</v>
      </c>
      <c r="U222" s="115">
        <f t="shared" si="16"/>
        <v>900</v>
      </c>
      <c r="V222" s="107">
        <f t="shared" si="12"/>
        <v>0</v>
      </c>
      <c r="W222" s="16">
        <f>N222+O222-'додаток сесія_2024_2028_161 (2'!O222</f>
        <v>0</v>
      </c>
    </row>
    <row r="223" spans="1:23" ht="44.25" hidden="1" customHeight="1" x14ac:dyDescent="0.2">
      <c r="A223" s="124"/>
      <c r="B223" s="560"/>
      <c r="C223" s="118" t="s">
        <v>219</v>
      </c>
      <c r="D223" s="128" t="s">
        <v>109</v>
      </c>
      <c r="E223" s="124"/>
      <c r="F223" s="143" t="s">
        <v>13</v>
      </c>
      <c r="G223" s="120">
        <v>0</v>
      </c>
      <c r="H223" s="120">
        <v>0</v>
      </c>
      <c r="I223" s="120">
        <v>0</v>
      </c>
      <c r="J223" s="120">
        <v>0</v>
      </c>
      <c r="K223" s="120">
        <v>350</v>
      </c>
      <c r="L223" s="120">
        <v>370</v>
      </c>
      <c r="M223" s="120">
        <v>0</v>
      </c>
      <c r="N223" s="15">
        <f t="shared" si="13"/>
        <v>720</v>
      </c>
      <c r="O223" s="120">
        <v>0</v>
      </c>
      <c r="P223" s="115">
        <v>0</v>
      </c>
      <c r="Q223" s="115">
        <v>0</v>
      </c>
      <c r="R223" s="115">
        <v>0</v>
      </c>
      <c r="S223" s="115">
        <v>0</v>
      </c>
      <c r="T223" s="115">
        <v>0</v>
      </c>
      <c r="U223" s="115">
        <f t="shared" si="16"/>
        <v>720</v>
      </c>
      <c r="V223" s="107">
        <f t="shared" si="12"/>
        <v>0</v>
      </c>
      <c r="W223" s="16">
        <f>N223+O223-'додаток сесія_2024_2028_161 (2'!O223</f>
        <v>0</v>
      </c>
    </row>
    <row r="224" spans="1:23" ht="47.25" hidden="1" customHeight="1" x14ac:dyDescent="0.2">
      <c r="A224" s="124"/>
      <c r="B224" s="508"/>
      <c r="C224" s="129" t="s">
        <v>220</v>
      </c>
      <c r="D224" s="122" t="s">
        <v>109</v>
      </c>
      <c r="E224" s="124"/>
      <c r="F224" s="143" t="s">
        <v>13</v>
      </c>
      <c r="G224" s="120">
        <v>0</v>
      </c>
      <c r="H224" s="120">
        <v>0</v>
      </c>
      <c r="I224" s="120">
        <v>0</v>
      </c>
      <c r="J224" s="120">
        <v>0</v>
      </c>
      <c r="K224" s="120">
        <v>1000</v>
      </c>
      <c r="L224" s="120">
        <v>3000</v>
      </c>
      <c r="M224" s="120">
        <v>3000</v>
      </c>
      <c r="N224" s="15">
        <f t="shared" si="13"/>
        <v>7000</v>
      </c>
      <c r="O224" s="120">
        <v>3000</v>
      </c>
      <c r="P224" s="115">
        <v>0</v>
      </c>
      <c r="Q224" s="115">
        <v>0</v>
      </c>
      <c r="R224" s="115">
        <v>0</v>
      </c>
      <c r="S224" s="115">
        <v>0</v>
      </c>
      <c r="T224" s="115">
        <v>0</v>
      </c>
      <c r="U224" s="115">
        <f t="shared" si="16"/>
        <v>10000</v>
      </c>
      <c r="V224" s="107">
        <f t="shared" si="12"/>
        <v>0</v>
      </c>
      <c r="W224" s="16">
        <f>N224+O224-'додаток сесія_2024_2028_161 (2'!O224</f>
        <v>0</v>
      </c>
    </row>
    <row r="225" spans="1:23" ht="42" hidden="1" customHeight="1" x14ac:dyDescent="0.2">
      <c r="A225" s="117"/>
      <c r="B225" s="504"/>
      <c r="C225" s="131" t="s">
        <v>221</v>
      </c>
      <c r="D225" s="114">
        <v>2020</v>
      </c>
      <c r="E225" s="197"/>
      <c r="F225" s="143" t="s">
        <v>13</v>
      </c>
      <c r="G225" s="120">
        <v>0</v>
      </c>
      <c r="H225" s="120">
        <v>0</v>
      </c>
      <c r="I225" s="120">
        <v>0</v>
      </c>
      <c r="J225" s="120">
        <v>0</v>
      </c>
      <c r="K225" s="120">
        <v>2450</v>
      </c>
      <c r="L225" s="120">
        <v>0</v>
      </c>
      <c r="M225" s="120">
        <v>0</v>
      </c>
      <c r="N225" s="15">
        <f t="shared" si="13"/>
        <v>2450</v>
      </c>
      <c r="O225" s="120">
        <v>0</v>
      </c>
      <c r="P225" s="115">
        <v>0</v>
      </c>
      <c r="Q225" s="115">
        <v>0</v>
      </c>
      <c r="R225" s="115">
        <v>0</v>
      </c>
      <c r="S225" s="115">
        <v>0</v>
      </c>
      <c r="T225" s="115">
        <v>0</v>
      </c>
      <c r="U225" s="115">
        <f t="shared" si="16"/>
        <v>2450</v>
      </c>
      <c r="V225" s="107">
        <f t="shared" si="12"/>
        <v>0</v>
      </c>
      <c r="W225" s="16">
        <f>N225+O225-'додаток сесія_2024_2028_161 (2'!O225</f>
        <v>0</v>
      </c>
    </row>
    <row r="226" spans="1:23" ht="49.5" hidden="1" customHeight="1" x14ac:dyDescent="0.2">
      <c r="A226" s="117"/>
      <c r="B226" s="504"/>
      <c r="C226" s="131" t="s">
        <v>222</v>
      </c>
      <c r="D226" s="114">
        <v>2020</v>
      </c>
      <c r="E226" s="197"/>
      <c r="F226" s="143" t="s">
        <v>13</v>
      </c>
      <c r="G226" s="120">
        <v>0</v>
      </c>
      <c r="H226" s="120">
        <v>0</v>
      </c>
      <c r="I226" s="120">
        <v>0</v>
      </c>
      <c r="J226" s="120">
        <v>0</v>
      </c>
      <c r="K226" s="120">
        <v>4500</v>
      </c>
      <c r="L226" s="120">
        <v>0</v>
      </c>
      <c r="M226" s="120">
        <v>0</v>
      </c>
      <c r="N226" s="15">
        <f t="shared" si="13"/>
        <v>4500</v>
      </c>
      <c r="O226" s="120">
        <v>0</v>
      </c>
      <c r="P226" s="115">
        <v>0</v>
      </c>
      <c r="Q226" s="115">
        <v>0</v>
      </c>
      <c r="R226" s="115">
        <v>0</v>
      </c>
      <c r="S226" s="115">
        <v>0</v>
      </c>
      <c r="T226" s="115">
        <v>0</v>
      </c>
      <c r="U226" s="115">
        <f t="shared" si="16"/>
        <v>4500</v>
      </c>
      <c r="V226" s="107">
        <f t="shared" si="12"/>
        <v>0</v>
      </c>
      <c r="W226" s="16">
        <f>N226+O226-'додаток сесія_2024_2028_161 (2'!O226</f>
        <v>0</v>
      </c>
    </row>
    <row r="227" spans="1:23" ht="40.5" hidden="1" customHeight="1" x14ac:dyDescent="0.2">
      <c r="A227" s="117"/>
      <c r="B227" s="133"/>
      <c r="C227" s="134" t="s">
        <v>223</v>
      </c>
      <c r="D227" s="123" t="s">
        <v>109</v>
      </c>
      <c r="E227" s="197"/>
      <c r="F227" s="143" t="s">
        <v>13</v>
      </c>
      <c r="G227" s="120">
        <v>0</v>
      </c>
      <c r="H227" s="120">
        <v>0</v>
      </c>
      <c r="I227" s="120">
        <v>0</v>
      </c>
      <c r="J227" s="120">
        <v>0</v>
      </c>
      <c r="K227" s="120">
        <v>5160</v>
      </c>
      <c r="L227" s="120">
        <v>5000</v>
      </c>
      <c r="M227" s="120">
        <v>0</v>
      </c>
      <c r="N227" s="15">
        <f t="shared" si="13"/>
        <v>10160</v>
      </c>
      <c r="O227" s="120">
        <v>0</v>
      </c>
      <c r="P227" s="115">
        <v>0</v>
      </c>
      <c r="Q227" s="115">
        <v>0</v>
      </c>
      <c r="R227" s="115">
        <v>0</v>
      </c>
      <c r="S227" s="115">
        <v>0</v>
      </c>
      <c r="T227" s="115">
        <v>0</v>
      </c>
      <c r="U227" s="115">
        <f t="shared" si="16"/>
        <v>10160</v>
      </c>
      <c r="V227" s="107">
        <f t="shared" si="12"/>
        <v>0</v>
      </c>
      <c r="W227" s="16">
        <f>N227+O227-'додаток сесія_2024_2028_161 (2'!O227</f>
        <v>0</v>
      </c>
    </row>
    <row r="228" spans="1:23" ht="48" hidden="1" customHeight="1" x14ac:dyDescent="0.2">
      <c r="A228" s="135"/>
      <c r="B228" s="136"/>
      <c r="C228" s="137" t="s">
        <v>224</v>
      </c>
      <c r="D228" s="138" t="s">
        <v>71</v>
      </c>
      <c r="E228" s="197"/>
      <c r="F228" s="143" t="s">
        <v>13</v>
      </c>
      <c r="G228" s="120">
        <v>0</v>
      </c>
      <c r="H228" s="120">
        <v>0</v>
      </c>
      <c r="I228" s="120">
        <v>0</v>
      </c>
      <c r="J228" s="120">
        <v>0</v>
      </c>
      <c r="K228" s="120">
        <v>0</v>
      </c>
      <c r="L228" s="120">
        <v>3150</v>
      </c>
      <c r="M228" s="120">
        <v>3125</v>
      </c>
      <c r="N228" s="15">
        <f t="shared" si="13"/>
        <v>6275</v>
      </c>
      <c r="O228" s="120">
        <v>3125</v>
      </c>
      <c r="P228" s="115">
        <v>0</v>
      </c>
      <c r="Q228" s="115">
        <v>0</v>
      </c>
      <c r="R228" s="115">
        <v>0</v>
      </c>
      <c r="S228" s="115">
        <v>0</v>
      </c>
      <c r="T228" s="115">
        <v>0</v>
      </c>
      <c r="U228" s="115">
        <f t="shared" si="16"/>
        <v>9400</v>
      </c>
      <c r="V228" s="107">
        <f t="shared" si="12"/>
        <v>0</v>
      </c>
      <c r="W228" s="16">
        <f>N228+O228-'додаток сесія_2024_2028_161 (2'!O228</f>
        <v>0</v>
      </c>
    </row>
    <row r="229" spans="1:23" ht="51.75" hidden="1" customHeight="1" x14ac:dyDescent="0.2">
      <c r="A229" s="135"/>
      <c r="B229" s="502"/>
      <c r="C229" s="121" t="s">
        <v>225</v>
      </c>
      <c r="D229" s="140" t="s">
        <v>71</v>
      </c>
      <c r="E229" s="501"/>
      <c r="F229" s="143" t="s">
        <v>13</v>
      </c>
      <c r="G229" s="120">
        <v>0</v>
      </c>
      <c r="H229" s="120">
        <v>0</v>
      </c>
      <c r="I229" s="120">
        <v>0</v>
      </c>
      <c r="J229" s="120">
        <v>0</v>
      </c>
      <c r="K229" s="120">
        <v>0</v>
      </c>
      <c r="L229" s="120">
        <f>5350-5350</f>
        <v>0</v>
      </c>
      <c r="M229" s="120">
        <f>5350-5350</f>
        <v>0</v>
      </c>
      <c r="N229" s="15">
        <f t="shared" si="13"/>
        <v>0</v>
      </c>
      <c r="O229" s="120">
        <f>5350-5350</f>
        <v>0</v>
      </c>
      <c r="P229" s="115">
        <v>0</v>
      </c>
      <c r="Q229" s="115">
        <v>0</v>
      </c>
      <c r="R229" s="115">
        <v>0</v>
      </c>
      <c r="S229" s="115">
        <v>0</v>
      </c>
      <c r="T229" s="115">
        <v>0</v>
      </c>
      <c r="U229" s="115">
        <f t="shared" si="16"/>
        <v>0</v>
      </c>
      <c r="V229" s="107">
        <f t="shared" si="12"/>
        <v>0</v>
      </c>
      <c r="W229" s="16">
        <f>N229+O229-'додаток сесія_2024_2028_161 (2'!O229</f>
        <v>0</v>
      </c>
    </row>
    <row r="230" spans="1:23" ht="40.5" hidden="1" customHeight="1" x14ac:dyDescent="0.2">
      <c r="A230" s="135"/>
      <c r="B230" s="502"/>
      <c r="C230" s="126" t="s">
        <v>226</v>
      </c>
      <c r="D230" s="127" t="s">
        <v>71</v>
      </c>
      <c r="E230" s="197"/>
      <c r="F230" s="143" t="s">
        <v>13</v>
      </c>
      <c r="G230" s="120">
        <v>0</v>
      </c>
      <c r="H230" s="120">
        <v>0</v>
      </c>
      <c r="I230" s="120">
        <v>0</v>
      </c>
      <c r="J230" s="120">
        <v>0</v>
      </c>
      <c r="K230" s="120">
        <v>0</v>
      </c>
      <c r="L230" s="120">
        <v>6500</v>
      </c>
      <c r="M230" s="120">
        <v>750</v>
      </c>
      <c r="N230" s="15">
        <f t="shared" si="13"/>
        <v>7250</v>
      </c>
      <c r="O230" s="120">
        <v>750</v>
      </c>
      <c r="P230" s="115">
        <v>0</v>
      </c>
      <c r="Q230" s="115">
        <v>0</v>
      </c>
      <c r="R230" s="115">
        <v>0</v>
      </c>
      <c r="S230" s="115">
        <v>0</v>
      </c>
      <c r="T230" s="115">
        <v>0</v>
      </c>
      <c r="U230" s="115">
        <f t="shared" si="16"/>
        <v>8000</v>
      </c>
      <c r="V230" s="107">
        <f t="shared" si="12"/>
        <v>0</v>
      </c>
      <c r="W230" s="16">
        <f>N230+O230-'додаток сесія_2024_2028_161 (2'!O230</f>
        <v>0</v>
      </c>
    </row>
    <row r="231" spans="1:23" ht="84" hidden="1" customHeight="1" x14ac:dyDescent="0.2">
      <c r="A231" s="135"/>
      <c r="B231" s="502"/>
      <c r="C231" s="142" t="s">
        <v>227</v>
      </c>
      <c r="D231" s="143">
        <v>2023</v>
      </c>
      <c r="E231" s="197"/>
      <c r="F231" s="143" t="s">
        <v>13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5">
        <f t="shared" si="13"/>
        <v>0</v>
      </c>
      <c r="O231" s="20">
        <f>10623.9-934.29</f>
        <v>9689.61</v>
      </c>
      <c r="P231" s="115">
        <v>0</v>
      </c>
      <c r="Q231" s="115">
        <v>0</v>
      </c>
      <c r="R231" s="115">
        <v>0</v>
      </c>
      <c r="S231" s="115">
        <v>0</v>
      </c>
      <c r="T231" s="115">
        <v>0</v>
      </c>
      <c r="U231" s="115">
        <f t="shared" si="16"/>
        <v>9689.61</v>
      </c>
      <c r="V231" s="107">
        <f t="shared" si="12"/>
        <v>0</v>
      </c>
      <c r="W231" s="16">
        <f>N231+O231-'додаток сесія_2024_2028_161 (2'!O231</f>
        <v>0</v>
      </c>
    </row>
    <row r="232" spans="1:23" ht="43.5" hidden="1" customHeight="1" x14ac:dyDescent="0.2">
      <c r="A232" s="144"/>
      <c r="B232" s="145"/>
      <c r="C232" s="146" t="s">
        <v>228</v>
      </c>
      <c r="D232" s="147">
        <v>2023</v>
      </c>
      <c r="E232" s="484"/>
      <c r="F232" s="293" t="s">
        <v>13</v>
      </c>
      <c r="G232" s="120">
        <v>0</v>
      </c>
      <c r="H232" s="120">
        <v>0</v>
      </c>
      <c r="I232" s="120">
        <v>0</v>
      </c>
      <c r="J232" s="120">
        <v>0</v>
      </c>
      <c r="K232" s="120">
        <v>0</v>
      </c>
      <c r="L232" s="120">
        <v>0</v>
      </c>
      <c r="M232" s="120">
        <v>0</v>
      </c>
      <c r="N232" s="15">
        <f t="shared" si="13"/>
        <v>0</v>
      </c>
      <c r="O232" s="20">
        <v>934.28800000000001</v>
      </c>
      <c r="P232" s="115">
        <v>0</v>
      </c>
      <c r="Q232" s="115">
        <v>0</v>
      </c>
      <c r="R232" s="115">
        <v>0</v>
      </c>
      <c r="S232" s="115">
        <v>0</v>
      </c>
      <c r="T232" s="115">
        <v>0</v>
      </c>
      <c r="U232" s="115">
        <f t="shared" si="16"/>
        <v>934.28800000000001</v>
      </c>
      <c r="V232" s="107">
        <f t="shared" si="12"/>
        <v>0</v>
      </c>
      <c r="W232" s="16">
        <f>N232+O232-'додаток сесія_2024_2028_161 (2'!O232</f>
        <v>0</v>
      </c>
    </row>
    <row r="233" spans="1:23" ht="41.25" hidden="1" customHeight="1" x14ac:dyDescent="0.2">
      <c r="A233" s="569" t="s">
        <v>91</v>
      </c>
      <c r="B233" s="578"/>
      <c r="C233" s="149"/>
      <c r="D233" s="150"/>
      <c r="E233" s="485"/>
      <c r="F233" s="143" t="s">
        <v>13</v>
      </c>
      <c r="G233" s="164">
        <f>SUM(G217:G232)</f>
        <v>0</v>
      </c>
      <c r="H233" s="164">
        <f t="shared" ref="H233:T233" si="17">SUM(H217:H232)</f>
        <v>0</v>
      </c>
      <c r="I233" s="164">
        <f t="shared" si="17"/>
        <v>0</v>
      </c>
      <c r="J233" s="164">
        <f t="shared" si="17"/>
        <v>5551.3</v>
      </c>
      <c r="K233" s="164">
        <f t="shared" si="17"/>
        <v>39506.5</v>
      </c>
      <c r="L233" s="164">
        <f t="shared" si="17"/>
        <v>67510</v>
      </c>
      <c r="M233" s="164">
        <f>SUM(M217:M232)</f>
        <v>59195</v>
      </c>
      <c r="N233" s="164">
        <f>SUM(N217:N232)</f>
        <v>171762.8</v>
      </c>
      <c r="O233" s="164">
        <f t="shared" si="17"/>
        <v>61594.998</v>
      </c>
      <c r="P233" s="164">
        <f t="shared" si="17"/>
        <v>0</v>
      </c>
      <c r="Q233" s="164">
        <f t="shared" si="17"/>
        <v>0</v>
      </c>
      <c r="R233" s="164">
        <f t="shared" si="17"/>
        <v>0</v>
      </c>
      <c r="S233" s="164">
        <f t="shared" si="17"/>
        <v>0</v>
      </c>
      <c r="T233" s="164">
        <f t="shared" si="17"/>
        <v>0</v>
      </c>
      <c r="U233" s="164">
        <f>SUM(G233:T233)-N233</f>
        <v>233357.79800000001</v>
      </c>
      <c r="V233" s="107">
        <f t="shared" si="12"/>
        <v>0</v>
      </c>
      <c r="W233" s="16">
        <f>N233+O233-'додаток сесія_2024_2028_161 (2'!O233</f>
        <v>0</v>
      </c>
    </row>
    <row r="234" spans="1:23" ht="84" hidden="1" customHeight="1" x14ac:dyDescent="0.2">
      <c r="A234" s="492">
        <v>4</v>
      </c>
      <c r="B234" s="491" t="s">
        <v>229</v>
      </c>
      <c r="C234" s="152" t="s">
        <v>386</v>
      </c>
      <c r="D234" s="153">
        <v>2020</v>
      </c>
      <c r="E234" s="486" t="s">
        <v>231</v>
      </c>
      <c r="F234" s="143" t="s">
        <v>13</v>
      </c>
      <c r="G234" s="120">
        <v>0</v>
      </c>
      <c r="H234" s="120">
        <v>0</v>
      </c>
      <c r="I234" s="120">
        <v>0</v>
      </c>
      <c r="J234" s="120">
        <v>0</v>
      </c>
      <c r="K234" s="120">
        <v>167.43</v>
      </c>
      <c r="L234" s="120">
        <v>0</v>
      </c>
      <c r="M234" s="120">
        <v>0</v>
      </c>
      <c r="N234" s="15">
        <f t="shared" si="13"/>
        <v>167.43</v>
      </c>
      <c r="O234" s="120">
        <v>0</v>
      </c>
      <c r="P234" s="115">
        <v>0</v>
      </c>
      <c r="Q234" s="115">
        <v>0</v>
      </c>
      <c r="R234" s="115">
        <v>0</v>
      </c>
      <c r="S234" s="115">
        <v>0</v>
      </c>
      <c r="T234" s="115">
        <v>0</v>
      </c>
      <c r="U234" s="115">
        <f>SUM(G234:T234)-N234</f>
        <v>167.43</v>
      </c>
      <c r="V234" s="107">
        <f t="shared" si="12"/>
        <v>0</v>
      </c>
      <c r="W234" s="16">
        <f>N234+O234-'додаток сесія_2024_2028_161 (2'!O234</f>
        <v>0</v>
      </c>
    </row>
    <row r="235" spans="1:23" ht="82.5" hidden="1" customHeight="1" x14ac:dyDescent="0.2">
      <c r="A235" s="151"/>
      <c r="B235" s="504"/>
      <c r="C235" s="155" t="s">
        <v>232</v>
      </c>
      <c r="D235" s="156" t="s">
        <v>18</v>
      </c>
      <c r="E235" s="487" t="s">
        <v>233</v>
      </c>
      <c r="F235" s="143" t="s">
        <v>13</v>
      </c>
      <c r="G235" s="115">
        <v>199.92</v>
      </c>
      <c r="H235" s="115">
        <v>0</v>
      </c>
      <c r="I235" s="115">
        <v>0</v>
      </c>
      <c r="J235" s="115">
        <v>0</v>
      </c>
      <c r="K235" s="115">
        <v>0</v>
      </c>
      <c r="L235" s="115">
        <v>0</v>
      </c>
      <c r="M235" s="115">
        <v>0</v>
      </c>
      <c r="N235" s="15">
        <f t="shared" si="13"/>
        <v>199.92</v>
      </c>
      <c r="O235" s="115">
        <v>0</v>
      </c>
      <c r="P235" s="115">
        <v>0</v>
      </c>
      <c r="Q235" s="115">
        <v>0</v>
      </c>
      <c r="R235" s="115">
        <v>0</v>
      </c>
      <c r="S235" s="115">
        <v>0</v>
      </c>
      <c r="T235" s="115">
        <v>0</v>
      </c>
      <c r="U235" s="115">
        <f t="shared" ref="U235:U237" si="18">SUM(G235:T235)-N235</f>
        <v>199.92</v>
      </c>
      <c r="V235" s="107">
        <f t="shared" si="12"/>
        <v>0</v>
      </c>
      <c r="W235" s="16">
        <f>N235+O235-'додаток сесія_2024_2028_161 (2'!O235</f>
        <v>0</v>
      </c>
    </row>
    <row r="236" spans="1:23" ht="76.5" hidden="1" customHeight="1" x14ac:dyDescent="0.2">
      <c r="A236" s="157"/>
      <c r="B236" s="158"/>
      <c r="C236" s="505" t="s">
        <v>234</v>
      </c>
      <c r="D236" s="160">
        <v>2021</v>
      </c>
      <c r="E236" s="487" t="s">
        <v>231</v>
      </c>
      <c r="F236" s="143" t="s">
        <v>13</v>
      </c>
      <c r="G236" s="120">
        <v>0</v>
      </c>
      <c r="H236" s="120">
        <v>0</v>
      </c>
      <c r="I236" s="120">
        <v>0</v>
      </c>
      <c r="J236" s="120">
        <v>0</v>
      </c>
      <c r="K236" s="120">
        <v>0</v>
      </c>
      <c r="L236" s="120">
        <v>485.1</v>
      </c>
      <c r="M236" s="120">
        <v>0</v>
      </c>
      <c r="N236" s="15">
        <f t="shared" si="13"/>
        <v>485.1</v>
      </c>
      <c r="O236" s="120">
        <v>0</v>
      </c>
      <c r="P236" s="115">
        <v>0</v>
      </c>
      <c r="Q236" s="115">
        <v>0</v>
      </c>
      <c r="R236" s="115">
        <v>0</v>
      </c>
      <c r="S236" s="115">
        <v>0</v>
      </c>
      <c r="T236" s="115">
        <v>0</v>
      </c>
      <c r="U236" s="115">
        <f t="shared" si="18"/>
        <v>485.1</v>
      </c>
      <c r="V236" s="107">
        <f t="shared" si="12"/>
        <v>0</v>
      </c>
      <c r="W236" s="16">
        <f>N236+O236-'додаток сесія_2024_2028_161 (2'!O236</f>
        <v>0</v>
      </c>
    </row>
    <row r="237" spans="1:23" ht="77.25" hidden="1" customHeight="1" x14ac:dyDescent="0.2">
      <c r="A237" s="162"/>
      <c r="B237" s="163"/>
      <c r="C237" s="505" t="s">
        <v>235</v>
      </c>
      <c r="D237" s="160">
        <v>2022</v>
      </c>
      <c r="E237" s="487" t="s">
        <v>231</v>
      </c>
      <c r="F237" s="143" t="s">
        <v>13</v>
      </c>
      <c r="G237" s="120">
        <v>0</v>
      </c>
      <c r="H237" s="120">
        <v>0</v>
      </c>
      <c r="I237" s="120">
        <v>0</v>
      </c>
      <c r="J237" s="120">
        <v>0</v>
      </c>
      <c r="K237" s="120">
        <v>0</v>
      </c>
      <c r="L237" s="120">
        <v>0</v>
      </c>
      <c r="M237" s="120">
        <v>488.9</v>
      </c>
      <c r="N237" s="15">
        <f t="shared" si="13"/>
        <v>488.9</v>
      </c>
      <c r="O237" s="120">
        <v>0</v>
      </c>
      <c r="P237" s="115">
        <v>0</v>
      </c>
      <c r="Q237" s="115">
        <v>0</v>
      </c>
      <c r="R237" s="115">
        <v>0</v>
      </c>
      <c r="S237" s="115">
        <v>0</v>
      </c>
      <c r="T237" s="115">
        <v>0</v>
      </c>
      <c r="U237" s="115">
        <f t="shared" si="18"/>
        <v>488.9</v>
      </c>
      <c r="V237" s="107">
        <f t="shared" si="12"/>
        <v>0</v>
      </c>
      <c r="W237" s="16">
        <f>N237+O237-'додаток сесія_2024_2028_161 (2'!O237</f>
        <v>0</v>
      </c>
    </row>
    <row r="238" spans="1:23" ht="40.5" hidden="1" customHeight="1" x14ac:dyDescent="0.2">
      <c r="A238" s="605" t="s">
        <v>91</v>
      </c>
      <c r="B238" s="605"/>
      <c r="C238" s="606"/>
      <c r="D238" s="606"/>
      <c r="E238" s="607"/>
      <c r="F238" s="143" t="s">
        <v>13</v>
      </c>
      <c r="G238" s="164">
        <f>SUM(G234:G237)</f>
        <v>199.92</v>
      </c>
      <c r="H238" s="164">
        <f t="shared" ref="H238:T238" si="19">SUM(H234:H237)</f>
        <v>0</v>
      </c>
      <c r="I238" s="164">
        <f t="shared" si="19"/>
        <v>0</v>
      </c>
      <c r="J238" s="164">
        <f t="shared" si="19"/>
        <v>0</v>
      </c>
      <c r="K238" s="164">
        <f t="shared" si="19"/>
        <v>167.43</v>
      </c>
      <c r="L238" s="164">
        <f t="shared" si="19"/>
        <v>485.1</v>
      </c>
      <c r="M238" s="164">
        <f t="shared" si="19"/>
        <v>488.9</v>
      </c>
      <c r="N238" s="164">
        <f t="shared" si="19"/>
        <v>1341.35</v>
      </c>
      <c r="O238" s="164">
        <f t="shared" si="19"/>
        <v>0</v>
      </c>
      <c r="P238" s="164">
        <f t="shared" si="19"/>
        <v>0</v>
      </c>
      <c r="Q238" s="164">
        <f t="shared" si="19"/>
        <v>0</v>
      </c>
      <c r="R238" s="164">
        <f t="shared" si="19"/>
        <v>0</v>
      </c>
      <c r="S238" s="164">
        <f t="shared" si="19"/>
        <v>0</v>
      </c>
      <c r="T238" s="164">
        <f t="shared" si="19"/>
        <v>0</v>
      </c>
      <c r="U238" s="164">
        <f>SUM(G238:T238)-N238</f>
        <v>1341.35</v>
      </c>
      <c r="V238" s="107">
        <f t="shared" si="12"/>
        <v>0</v>
      </c>
      <c r="W238" s="16">
        <f>N238+O238-'додаток сесія_2024_2028_161 (2'!O238</f>
        <v>0</v>
      </c>
    </row>
    <row r="239" spans="1:23" ht="78.75" hidden="1" customHeight="1" x14ac:dyDescent="0.2">
      <c r="A239" s="165">
        <v>5</v>
      </c>
      <c r="B239" s="166" t="s">
        <v>236</v>
      </c>
      <c r="C239" s="167" t="s">
        <v>429</v>
      </c>
      <c r="D239" s="168" t="s">
        <v>238</v>
      </c>
      <c r="E239" s="488" t="s">
        <v>231</v>
      </c>
      <c r="F239" s="143" t="s">
        <v>13</v>
      </c>
      <c r="G239" s="115">
        <v>0</v>
      </c>
      <c r="H239" s="115">
        <v>300</v>
      </c>
      <c r="I239" s="115">
        <v>0</v>
      </c>
      <c r="J239" s="115">
        <v>0</v>
      </c>
      <c r="K239" s="115">
        <v>0</v>
      </c>
      <c r="L239" s="115">
        <v>1469</v>
      </c>
      <c r="M239" s="115">
        <v>0</v>
      </c>
      <c r="N239" s="15">
        <f t="shared" si="13"/>
        <v>1769</v>
      </c>
      <c r="O239" s="115">
        <v>0</v>
      </c>
      <c r="P239" s="115">
        <v>0</v>
      </c>
      <c r="Q239" s="115">
        <v>0</v>
      </c>
      <c r="R239" s="115">
        <v>0</v>
      </c>
      <c r="S239" s="115">
        <v>0</v>
      </c>
      <c r="T239" s="115">
        <v>0</v>
      </c>
      <c r="U239" s="115">
        <f>SUM(G239:T239)-N239</f>
        <v>1769</v>
      </c>
      <c r="V239" s="107">
        <f t="shared" si="12"/>
        <v>0</v>
      </c>
      <c r="W239" s="16">
        <f>N239+O239-'додаток сесія_2024_2028_161 (2'!O239</f>
        <v>0</v>
      </c>
    </row>
    <row r="240" spans="1:23" ht="41.25" hidden="1" customHeight="1" x14ac:dyDescent="0.2">
      <c r="A240" s="170"/>
      <c r="B240" s="171"/>
      <c r="C240" s="172" t="s">
        <v>430</v>
      </c>
      <c r="D240" s="509" t="s">
        <v>73</v>
      </c>
      <c r="E240" s="595" t="s">
        <v>231</v>
      </c>
      <c r="F240" s="143" t="s">
        <v>13</v>
      </c>
      <c r="G240" s="115">
        <v>0</v>
      </c>
      <c r="H240" s="115">
        <v>0</v>
      </c>
      <c r="I240" s="115">
        <v>0</v>
      </c>
      <c r="J240" s="115">
        <v>0</v>
      </c>
      <c r="K240" s="115">
        <v>0</v>
      </c>
      <c r="L240" s="115">
        <v>31</v>
      </c>
      <c r="M240" s="115">
        <v>0</v>
      </c>
      <c r="N240" s="15">
        <f t="shared" si="13"/>
        <v>31</v>
      </c>
      <c r="O240" s="115">
        <v>0</v>
      </c>
      <c r="P240" s="115">
        <v>50</v>
      </c>
      <c r="Q240" s="115">
        <v>55</v>
      </c>
      <c r="R240" s="115">
        <v>61</v>
      </c>
      <c r="S240" s="115">
        <v>67</v>
      </c>
      <c r="T240" s="115">
        <v>75</v>
      </c>
      <c r="U240" s="115">
        <f t="shared" ref="U240:U241" si="20">SUM(G240:T240)-N240</f>
        <v>339</v>
      </c>
      <c r="V240" s="107">
        <f t="shared" si="12"/>
        <v>0</v>
      </c>
      <c r="W240" s="16">
        <f>N240+O240-'додаток сесія_2024_2028_161 (2'!O240</f>
        <v>0</v>
      </c>
    </row>
    <row r="241" spans="1:23" ht="52.5" hidden="1" customHeight="1" x14ac:dyDescent="0.2">
      <c r="A241" s="170"/>
      <c r="B241" s="171"/>
      <c r="C241" s="174" t="s">
        <v>240</v>
      </c>
      <c r="D241" s="160" t="s">
        <v>88</v>
      </c>
      <c r="E241" s="596"/>
      <c r="F241" s="143" t="s">
        <v>13</v>
      </c>
      <c r="G241" s="115">
        <v>0</v>
      </c>
      <c r="H241" s="115">
        <v>0</v>
      </c>
      <c r="I241" s="115">
        <v>0</v>
      </c>
      <c r="J241" s="115">
        <v>0</v>
      </c>
      <c r="K241" s="115">
        <v>0</v>
      </c>
      <c r="L241" s="115">
        <v>0</v>
      </c>
      <c r="M241" s="115">
        <v>0</v>
      </c>
      <c r="N241" s="15">
        <f t="shared" si="13"/>
        <v>0</v>
      </c>
      <c r="O241" s="115">
        <v>0</v>
      </c>
      <c r="P241" s="115">
        <v>35</v>
      </c>
      <c r="Q241" s="115">
        <v>40</v>
      </c>
      <c r="R241" s="115">
        <v>45</v>
      </c>
      <c r="S241" s="115">
        <v>50</v>
      </c>
      <c r="T241" s="115">
        <v>55</v>
      </c>
      <c r="U241" s="115">
        <f t="shared" si="20"/>
        <v>225</v>
      </c>
      <c r="V241" s="107">
        <f t="shared" si="12"/>
        <v>0</v>
      </c>
      <c r="W241" s="16">
        <f>N241+O241-'додаток сесія_2024_2028_161 (2'!O241</f>
        <v>0</v>
      </c>
    </row>
    <row r="242" spans="1:23" ht="41.25" hidden="1" customHeight="1" x14ac:dyDescent="0.2">
      <c r="A242" s="597" t="s">
        <v>91</v>
      </c>
      <c r="B242" s="597"/>
      <c r="C242" s="598"/>
      <c r="D242" s="598"/>
      <c r="E242" s="599"/>
      <c r="F242" s="143" t="s">
        <v>13</v>
      </c>
      <c r="G242" s="175">
        <f>G239+G240+G241</f>
        <v>0</v>
      </c>
      <c r="H242" s="175">
        <f t="shared" ref="H242:T242" si="21">H239+H240+H241</f>
        <v>300</v>
      </c>
      <c r="I242" s="175">
        <f t="shared" si="21"/>
        <v>0</v>
      </c>
      <c r="J242" s="175">
        <f t="shared" si="21"/>
        <v>0</v>
      </c>
      <c r="K242" s="175">
        <f t="shared" si="21"/>
        <v>0</v>
      </c>
      <c r="L242" s="175">
        <f t="shared" si="21"/>
        <v>1500</v>
      </c>
      <c r="M242" s="175">
        <f t="shared" si="21"/>
        <v>0</v>
      </c>
      <c r="N242" s="175">
        <f t="shared" si="13"/>
        <v>1800</v>
      </c>
      <c r="O242" s="175">
        <f t="shared" si="21"/>
        <v>0</v>
      </c>
      <c r="P242" s="175">
        <f t="shared" si="21"/>
        <v>85</v>
      </c>
      <c r="Q242" s="175">
        <f t="shared" si="21"/>
        <v>95</v>
      </c>
      <c r="R242" s="175">
        <f t="shared" si="21"/>
        <v>106</v>
      </c>
      <c r="S242" s="175">
        <f t="shared" si="21"/>
        <v>117</v>
      </c>
      <c r="T242" s="175">
        <f t="shared" si="21"/>
        <v>130</v>
      </c>
      <c r="U242" s="175">
        <f>SUM(G242:T242)-N242</f>
        <v>2333</v>
      </c>
      <c r="V242" s="107">
        <f t="shared" si="12"/>
        <v>0</v>
      </c>
      <c r="W242" s="16">
        <f>N242+O242-'додаток сесія_2024_2028_161 (2'!O242</f>
        <v>0</v>
      </c>
    </row>
    <row r="243" spans="1:23" ht="46.5" hidden="1" customHeight="1" x14ac:dyDescent="0.2">
      <c r="A243" s="585" t="s">
        <v>241</v>
      </c>
      <c r="B243" s="585"/>
      <c r="C243" s="176"/>
      <c r="D243" s="177"/>
      <c r="E243" s="464"/>
      <c r="F243" s="143" t="s">
        <v>13</v>
      </c>
      <c r="G243" s="179">
        <f t="shared" ref="G243:T243" si="22">G238+G79+G216+G233+G242</f>
        <v>254461.71999999997</v>
      </c>
      <c r="H243" s="179">
        <f t="shared" si="22"/>
        <v>419562.19999999995</v>
      </c>
      <c r="I243" s="179">
        <f t="shared" si="22"/>
        <v>461134.5</v>
      </c>
      <c r="J243" s="179">
        <f t="shared" si="22"/>
        <v>614158.40000000014</v>
      </c>
      <c r="K243" s="179">
        <f t="shared" si="22"/>
        <v>910764.79</v>
      </c>
      <c r="L243" s="179">
        <f t="shared" si="22"/>
        <v>2006163.4</v>
      </c>
      <c r="M243" s="179">
        <f t="shared" si="22"/>
        <v>2130497.2000000002</v>
      </c>
      <c r="N243" s="179">
        <f t="shared" si="22"/>
        <v>6796742.21</v>
      </c>
      <c r="O243" s="179">
        <f t="shared" si="22"/>
        <v>2120341.898</v>
      </c>
      <c r="P243" s="179">
        <f t="shared" si="22"/>
        <v>1849038.28614</v>
      </c>
      <c r="Q243" s="179">
        <f t="shared" si="22"/>
        <v>2907043.7037400003</v>
      </c>
      <c r="R243" s="179">
        <f t="shared" si="22"/>
        <v>2684521.9948199997</v>
      </c>
      <c r="S243" s="179">
        <f t="shared" si="22"/>
        <v>2950088.7464736402</v>
      </c>
      <c r="T243" s="179">
        <f t="shared" si="22"/>
        <v>3282699.7496440914</v>
      </c>
      <c r="U243" s="179">
        <f>SUM(G243:T243)-N243</f>
        <v>22590476.588817731</v>
      </c>
      <c r="V243" s="107">
        <f t="shared" si="12"/>
        <v>0</v>
      </c>
      <c r="W243" s="16">
        <f>N243+O243-'додаток сесія_2024_2028_161 (2'!O243</f>
        <v>0</v>
      </c>
    </row>
    <row r="244" spans="1:23" ht="48.75" customHeight="1" x14ac:dyDescent="0.2">
      <c r="A244" s="180"/>
      <c r="B244" s="586" t="s">
        <v>437</v>
      </c>
      <c r="C244" s="586"/>
      <c r="D244" s="586"/>
      <c r="E244" s="586"/>
      <c r="F244" s="586"/>
      <c r="G244" s="586"/>
      <c r="H244" s="586"/>
      <c r="I244" s="586"/>
      <c r="J244" s="586"/>
      <c r="K244" s="586"/>
      <c r="L244" s="586"/>
      <c r="M244" s="586"/>
      <c r="N244" s="586"/>
      <c r="O244" s="586"/>
      <c r="P244" s="586"/>
      <c r="Q244" s="586"/>
      <c r="R244" s="586"/>
      <c r="S244" s="586"/>
      <c r="T244" s="586"/>
      <c r="U244" s="586"/>
      <c r="V244" s="107" t="e">
        <f>SUM(V12:V243)</f>
        <v>#REF!</v>
      </c>
      <c r="W244" s="16"/>
    </row>
    <row r="245" spans="1:23" ht="63" customHeight="1" x14ac:dyDescent="0.25">
      <c r="B245" s="187" t="s">
        <v>124</v>
      </c>
      <c r="D245" s="187"/>
      <c r="E245" s="187"/>
      <c r="W245" s="16"/>
    </row>
    <row r="246" spans="1:23" s="17" customFormat="1" ht="27" x14ac:dyDescent="0.35">
      <c r="B246" s="604" t="s">
        <v>361</v>
      </c>
      <c r="C246" s="604"/>
      <c r="D246" s="604"/>
      <c r="E246" s="604"/>
      <c r="F246" s="604"/>
      <c r="G246" s="604"/>
      <c r="H246" s="604"/>
      <c r="I246" s="604"/>
      <c r="J246" s="604"/>
      <c r="K246" s="604"/>
      <c r="N246" s="322" t="s">
        <v>362</v>
      </c>
      <c r="W246" s="16"/>
    </row>
    <row r="247" spans="1:23" s="17" customFormat="1" x14ac:dyDescent="0.2">
      <c r="C247" s="188"/>
      <c r="W247" s="16"/>
    </row>
    <row r="248" spans="1:23" x14ac:dyDescent="0.2">
      <c r="W248" s="16"/>
    </row>
    <row r="249" spans="1:23" x14ac:dyDescent="0.2">
      <c r="W249" s="16"/>
    </row>
    <row r="250" spans="1:23" x14ac:dyDescent="0.2">
      <c r="W250" s="16"/>
    </row>
    <row r="251" spans="1:23" x14ac:dyDescent="0.2">
      <c r="G251" s="107">
        <f>G243-'[1]додаток сесія_1901_решение'!G246</f>
        <v>0</v>
      </c>
      <c r="H251" s="107">
        <f>H243-'[1]додаток сесія_1901_решение'!H246</f>
        <v>0</v>
      </c>
      <c r="I251" s="107">
        <f>I243-'[1]додаток сесія_1901_решение'!I246</f>
        <v>0</v>
      </c>
      <c r="J251" s="107">
        <f>J243-'[1]додаток сесія_1901_решение'!J246</f>
        <v>0</v>
      </c>
      <c r="K251" s="107">
        <f>K243-'[1]додаток сесія_1901_решение'!K246</f>
        <v>0</v>
      </c>
      <c r="L251" s="107">
        <f>L243-'[1]додаток сесія_1901_решение'!L246</f>
        <v>0</v>
      </c>
      <c r="M251" s="107">
        <f>M243-'[1]додаток сесія_1901_решение'!M246</f>
        <v>0</v>
      </c>
      <c r="N251" s="107"/>
      <c r="O251" s="107">
        <f>O243-'[1]додаток сесія_1901_решение'!N246</f>
        <v>-1.999999862164259E-3</v>
      </c>
      <c r="P251" s="107"/>
      <c r="Q251" s="107"/>
      <c r="R251" s="107"/>
      <c r="S251" s="107"/>
      <c r="T251" s="107"/>
      <c r="U251" s="107">
        <f>U243-'[1]додаток сесія_1901_решение'!O246</f>
        <v>13673392.478817729</v>
      </c>
      <c r="V251" s="107">
        <f>P243+Q243+R243+S243+T243</f>
        <v>13673392.480817731</v>
      </c>
      <c r="W251" s="16"/>
    </row>
    <row r="252" spans="1:23" x14ac:dyDescent="0.2">
      <c r="G252" s="107">
        <f>G216-'[1]додаток сесія_1901_решение'!G212</f>
        <v>0</v>
      </c>
      <c r="H252" s="107">
        <f>H216-'[1]додаток сесія_1901_решение'!H212</f>
        <v>0</v>
      </c>
      <c r="I252" s="107">
        <f>I216-'[1]додаток сесія_1901_решение'!I212</f>
        <v>0</v>
      </c>
      <c r="J252" s="107">
        <f>J216-'[1]додаток сесія_1901_решение'!J212</f>
        <v>0</v>
      </c>
      <c r="K252" s="107">
        <f>K216-'[1]додаток сесія_1901_решение'!K212</f>
        <v>0</v>
      </c>
      <c r="L252" s="107">
        <f>L216-'[1]додаток сесія_1901_решение'!L212</f>
        <v>0</v>
      </c>
      <c r="M252" s="107">
        <f>M216-'[1]додаток сесія_1901_решение'!M212</f>
        <v>0</v>
      </c>
      <c r="N252" s="107"/>
      <c r="O252" s="107">
        <f>O216-'[1]додаток сесія_1901_решение'!N212</f>
        <v>0</v>
      </c>
      <c r="P252" s="107"/>
      <c r="Q252" s="107"/>
      <c r="R252" s="107"/>
      <c r="S252" s="107"/>
      <c r="T252" s="107"/>
      <c r="U252" s="107">
        <f>U216-'[1]додаток сесія_1901_решение'!O212</f>
        <v>6250225.7986877356</v>
      </c>
      <c r="V252" s="107">
        <f>U243-V251</f>
        <v>8917084.1079999991</v>
      </c>
      <c r="W252" s="16"/>
    </row>
    <row r="253" spans="1:23" x14ac:dyDescent="0.2">
      <c r="G253" s="107">
        <f>G79-'[1]додаток сесія_1901_решение'!G88</f>
        <v>0</v>
      </c>
      <c r="H253" s="107">
        <f>H79-'[1]додаток сесія_1901_решение'!H88</f>
        <v>0</v>
      </c>
      <c r="I253" s="107">
        <f>I79-'[1]додаток сесія_1901_решение'!I88</f>
        <v>0</v>
      </c>
      <c r="J253" s="107">
        <f>J79-'[1]додаток сесія_1901_решение'!J88</f>
        <v>0</v>
      </c>
      <c r="K253" s="107">
        <f>K79-'[1]додаток сесія_1901_решение'!K88</f>
        <v>0</v>
      </c>
      <c r="L253" s="107">
        <f>L79-'[1]додаток сесія_1901_решение'!L88</f>
        <v>0</v>
      </c>
      <c r="M253" s="107">
        <f>M79-'[1]додаток сесія_1901_решение'!M88</f>
        <v>0</v>
      </c>
      <c r="N253" s="107"/>
      <c r="O253" s="107">
        <f>O79-'[1]додаток сесія_1901_решение'!N88</f>
        <v>0</v>
      </c>
      <c r="P253" s="107"/>
      <c r="Q253" s="107"/>
      <c r="R253" s="107"/>
      <c r="S253" s="107"/>
      <c r="T253" s="107"/>
      <c r="U253" s="107">
        <f>U79-'[1]додаток сесія_1901_решение'!O88</f>
        <v>7422633.6821300006</v>
      </c>
      <c r="W253" s="16"/>
    </row>
    <row r="254" spans="1:23" x14ac:dyDescent="0.2">
      <c r="G254" s="107">
        <f>G79-'[1]додаток сесія_1901_решение'!G88</f>
        <v>0</v>
      </c>
      <c r="H254" s="107">
        <f>H79-'[1]додаток сесія_1901_решение'!H88</f>
        <v>0</v>
      </c>
      <c r="I254" s="107">
        <f>I79-'[1]додаток сесія_1901_решение'!I88</f>
        <v>0</v>
      </c>
      <c r="J254" s="107">
        <f>J79-'[1]додаток сесія_1901_решение'!J88</f>
        <v>0</v>
      </c>
      <c r="K254" s="107">
        <f>K79-'[1]додаток сесія_1901_решение'!K88</f>
        <v>0</v>
      </c>
      <c r="L254" s="107">
        <f>L79-'[1]додаток сесія_1901_решение'!L88</f>
        <v>0</v>
      </c>
      <c r="M254" s="107">
        <f>M79-'[1]додаток сесія_1901_решение'!M88</f>
        <v>0</v>
      </c>
      <c r="N254" s="107"/>
      <c r="O254" s="107">
        <f>O79-'[1]додаток сесія_1901_решение'!N88</f>
        <v>0</v>
      </c>
      <c r="P254" s="107"/>
      <c r="Q254" s="107"/>
      <c r="R254" s="107"/>
      <c r="S254" s="107"/>
      <c r="T254" s="107"/>
      <c r="U254" s="107">
        <f>U79-'[1]додаток сесія_1901_решение'!O88</f>
        <v>7422633.6821300006</v>
      </c>
      <c r="W254" s="16"/>
    </row>
    <row r="255" spans="1:23" x14ac:dyDescent="0.2">
      <c r="G255" s="107">
        <f>G216-'[1]додаток сесія_1901_решение'!G212</f>
        <v>0</v>
      </c>
      <c r="H255" s="107">
        <f>H216-'[1]додаток сесія_1901_решение'!H212</f>
        <v>0</v>
      </c>
      <c r="I255" s="107">
        <f>I216-'[1]додаток сесія_1901_решение'!I212</f>
        <v>0</v>
      </c>
      <c r="J255" s="107">
        <f>J216-'[1]додаток сесія_1901_решение'!J212</f>
        <v>0</v>
      </c>
      <c r="K255" s="107">
        <f>K216-'[1]додаток сесія_1901_решение'!K212</f>
        <v>0</v>
      </c>
      <c r="L255" s="107">
        <f>L216-'[1]додаток сесія_1901_решение'!L212</f>
        <v>0</v>
      </c>
      <c r="M255" s="107">
        <f>M216-'[1]додаток сесія_1901_решение'!M212</f>
        <v>0</v>
      </c>
      <c r="N255" s="107"/>
      <c r="O255" s="107">
        <f>O216-'[1]додаток сесія_1901_решение'!N212</f>
        <v>0</v>
      </c>
      <c r="P255" s="107"/>
      <c r="Q255" s="107"/>
      <c r="R255" s="107"/>
      <c r="S255" s="107"/>
      <c r="T255" s="107"/>
      <c r="U255" s="107">
        <f>U216-'[1]додаток сесія_1901_решение'!O212</f>
        <v>6250225.7986877356</v>
      </c>
      <c r="W255" s="16"/>
    </row>
    <row r="256" spans="1:23" x14ac:dyDescent="0.2">
      <c r="G256" s="107">
        <f>G233-'[1]додаток сесія_1901_решение'!G234</f>
        <v>0</v>
      </c>
      <c r="H256" s="107">
        <f>H233-'[1]додаток сесія_1901_решение'!H234</f>
        <v>0</v>
      </c>
      <c r="I256" s="107">
        <f>I233-'[1]додаток сесія_1901_решение'!I234</f>
        <v>0</v>
      </c>
      <c r="J256" s="107">
        <f>J233-'[1]додаток сесія_1901_решение'!J234</f>
        <v>0</v>
      </c>
      <c r="K256" s="107">
        <f>K233-'[1]додаток сесія_1901_решение'!K234</f>
        <v>0</v>
      </c>
      <c r="L256" s="107">
        <f>L233-'[1]додаток сесія_1901_решение'!L234</f>
        <v>0</v>
      </c>
      <c r="M256" s="107">
        <f>M233-'[1]додаток сесія_1901_решение'!M234</f>
        <v>0</v>
      </c>
      <c r="N256" s="107"/>
      <c r="O256" s="107">
        <f>O233-'[1]додаток сесія_1901_решение'!N234</f>
        <v>-2.0000000004074536E-3</v>
      </c>
      <c r="P256" s="107"/>
      <c r="Q256" s="107"/>
      <c r="R256" s="107"/>
      <c r="S256" s="107"/>
      <c r="T256" s="107"/>
      <c r="U256" s="107">
        <f>U233-'[1]додаток сесія_1901_решение'!O234</f>
        <v>-1.9999999785795808E-3</v>
      </c>
      <c r="W256" s="16"/>
    </row>
    <row r="257" spans="7:23" x14ac:dyDescent="0.2">
      <c r="W257" s="16"/>
    </row>
    <row r="258" spans="7:23" x14ac:dyDescent="0.2">
      <c r="G258" s="107">
        <f>G79-'[1]додаток сесія_актуальна'!G91</f>
        <v>0</v>
      </c>
      <c r="H258" s="107">
        <f>H79-'[1]додаток сесія_актуальна'!H91</f>
        <v>0</v>
      </c>
      <c r="I258" s="107">
        <f>I79-'[1]додаток сесія_актуальна'!I91</f>
        <v>0</v>
      </c>
      <c r="J258" s="107">
        <f>J79-'[1]додаток сесія_актуальна'!J91</f>
        <v>0</v>
      </c>
      <c r="K258" s="107">
        <f>K79-'[1]додаток сесія_актуальна'!K91</f>
        <v>0</v>
      </c>
      <c r="L258" s="107">
        <f>L79-'[1]додаток сесія_актуальна'!L91</f>
        <v>0</v>
      </c>
      <c r="M258" s="107">
        <f>M79-'[1]додаток сесія_актуальна'!M91</f>
        <v>0</v>
      </c>
      <c r="N258" s="107"/>
      <c r="O258" s="107">
        <f>O79-'[1]додаток сесія_актуальна'!N91</f>
        <v>0</v>
      </c>
      <c r="P258" s="107"/>
      <c r="Q258" s="107"/>
      <c r="R258" s="107"/>
      <c r="S258" s="107"/>
      <c r="T258" s="107"/>
      <c r="U258" s="107">
        <f>U79-'[1]додаток сесія_актуальна'!O91</f>
        <v>7422633.6821300006</v>
      </c>
      <c r="W258" s="16"/>
    </row>
    <row r="259" spans="7:23" x14ac:dyDescent="0.2">
      <c r="G259" s="107">
        <f>G216-'[1]додаток сесія_актуальна'!G219</f>
        <v>0</v>
      </c>
      <c r="H259" s="107">
        <f>H216-'[1]додаток сесія_актуальна'!H219</f>
        <v>0</v>
      </c>
      <c r="I259" s="107">
        <f>I216-'[1]додаток сесія_актуальна'!I219</f>
        <v>0</v>
      </c>
      <c r="J259" s="107">
        <f>J216-'[1]додаток сесія_актуальна'!J219</f>
        <v>0</v>
      </c>
      <c r="K259" s="107">
        <f>K216-'[1]додаток сесія_актуальна'!K219</f>
        <v>0</v>
      </c>
      <c r="L259" s="107">
        <f>L216-'[1]додаток сесія_актуальна'!L219</f>
        <v>0</v>
      </c>
      <c r="M259" s="107">
        <f>M216-'[1]додаток сесія_актуальна'!M219</f>
        <v>0</v>
      </c>
      <c r="N259" s="107"/>
      <c r="O259" s="107">
        <f>O216-'[1]додаток сесія_актуальна'!N219</f>
        <v>0</v>
      </c>
      <c r="P259" s="107"/>
      <c r="Q259" s="107"/>
      <c r="R259" s="107"/>
      <c r="S259" s="107"/>
      <c r="T259" s="107"/>
      <c r="U259" s="107">
        <f>U216-'[1]додаток сесія_актуальна'!O219</f>
        <v>6250225.7986877356</v>
      </c>
      <c r="W259" s="16"/>
    </row>
    <row r="260" spans="7:23" x14ac:dyDescent="0.2">
      <c r="W260" s="16"/>
    </row>
    <row r="261" spans="7:23" x14ac:dyDescent="0.2">
      <c r="G261" s="107">
        <f>G243-'[1]додаток сесія_актуальна'!G254</f>
        <v>0</v>
      </c>
      <c r="H261" s="107">
        <f>H243-'[1]додаток сесія_актуальна'!H254</f>
        <v>0</v>
      </c>
      <c r="I261" s="107">
        <f>I243-'[1]додаток сесія_актуальна'!I254</f>
        <v>0</v>
      </c>
      <c r="J261" s="107">
        <f>J243-'[1]додаток сесія_актуальна'!J254</f>
        <v>0</v>
      </c>
      <c r="K261" s="107">
        <f>K243-'[1]додаток сесія_актуальна'!K254</f>
        <v>0</v>
      </c>
      <c r="L261" s="107">
        <f>L243-'[1]додаток сесія_актуальна'!L254</f>
        <v>0</v>
      </c>
      <c r="M261" s="107">
        <f>M243-'[1]додаток сесія_актуальна'!M254</f>
        <v>0</v>
      </c>
      <c r="N261" s="107"/>
      <c r="O261" s="107">
        <f>O243-'[1]додаток сесія_актуальна'!N254</f>
        <v>0</v>
      </c>
      <c r="P261" s="107"/>
      <c r="Q261" s="107"/>
      <c r="R261" s="107"/>
      <c r="S261" s="107"/>
      <c r="T261" s="107"/>
      <c r="U261" s="107">
        <f>G243+H243+I243+J243+K243+L243+M243+O243-'[1]додаток сесія_актуальна'!O254</f>
        <v>0</v>
      </c>
    </row>
    <row r="263" spans="7:23" x14ac:dyDescent="0.2">
      <c r="G263" s="107">
        <f t="shared" ref="G263:M263" si="23">SUM(G12:G242)-G39-G79-G216-G233-G238-G242</f>
        <v>254461.71999999994</v>
      </c>
      <c r="H263" s="107">
        <f t="shared" si="23"/>
        <v>419562.19999999995</v>
      </c>
      <c r="I263" s="107">
        <f t="shared" si="23"/>
        <v>461134.5</v>
      </c>
      <c r="J263" s="107">
        <f t="shared" si="23"/>
        <v>614158.4</v>
      </c>
      <c r="K263" s="107">
        <f t="shared" si="23"/>
        <v>910764.79</v>
      </c>
      <c r="L263" s="107">
        <f t="shared" si="23"/>
        <v>2006163.3999999997</v>
      </c>
      <c r="M263" s="107">
        <f t="shared" si="23"/>
        <v>2130497.2000000007</v>
      </c>
      <c r="N263" s="107"/>
      <c r="O263" s="107">
        <f t="shared" ref="O263:U263" si="24">SUM(O12:O242)-O39-O79-O216-O233-O238-O242</f>
        <v>2120341.8979999986</v>
      </c>
      <c r="P263" s="107">
        <f t="shared" si="24"/>
        <v>1849038.2861400002</v>
      </c>
      <c r="Q263" s="107">
        <f t="shared" si="24"/>
        <v>2907043.7037399998</v>
      </c>
      <c r="R263" s="107">
        <f t="shared" si="24"/>
        <v>2684521.9948200006</v>
      </c>
      <c r="S263" s="107">
        <f t="shared" si="24"/>
        <v>2950088.7464736402</v>
      </c>
      <c r="T263" s="107">
        <f t="shared" si="24"/>
        <v>3282699.7496440904</v>
      </c>
      <c r="U263" s="107" t="e">
        <f t="shared" si="24"/>
        <v>#REF!</v>
      </c>
    </row>
    <row r="264" spans="7:23" x14ac:dyDescent="0.2">
      <c r="G264" s="107">
        <f t="shared" ref="G264:M264" si="25">G263-G243</f>
        <v>0</v>
      </c>
      <c r="H264" s="107">
        <f t="shared" si="25"/>
        <v>0</v>
      </c>
      <c r="I264" s="107">
        <f t="shared" si="25"/>
        <v>0</v>
      </c>
      <c r="J264" s="107">
        <f t="shared" si="25"/>
        <v>0</v>
      </c>
      <c r="K264" s="107">
        <f t="shared" si="25"/>
        <v>0</v>
      </c>
      <c r="L264" s="107">
        <f t="shared" si="25"/>
        <v>0</v>
      </c>
      <c r="M264" s="107">
        <f t="shared" si="25"/>
        <v>0</v>
      </c>
      <c r="N264" s="107"/>
      <c r="O264" s="107">
        <f t="shared" ref="O264:U264" si="26">O263-O243</f>
        <v>0</v>
      </c>
      <c r="P264" s="107">
        <f t="shared" si="26"/>
        <v>0</v>
      </c>
      <c r="Q264" s="107">
        <f t="shared" si="26"/>
        <v>0</v>
      </c>
      <c r="R264" s="107">
        <f t="shared" si="26"/>
        <v>0</v>
      </c>
      <c r="S264" s="107">
        <f t="shared" si="26"/>
        <v>0</v>
      </c>
      <c r="T264" s="107">
        <f t="shared" si="26"/>
        <v>0</v>
      </c>
      <c r="U264" s="107" t="e">
        <f t="shared" si="26"/>
        <v>#REF!</v>
      </c>
    </row>
    <row r="265" spans="7:23" x14ac:dyDescent="0.2">
      <c r="G265" s="107">
        <f>G243-'[1]додаток сесія_актуальна'!G254</f>
        <v>0</v>
      </c>
      <c r="H265" s="107">
        <f>H243-'[1]додаток сесія_актуальна'!H254</f>
        <v>0</v>
      </c>
      <c r="I265" s="107">
        <f>I243-'[1]додаток сесія_актуальна'!I254</f>
        <v>0</v>
      </c>
      <c r="J265" s="107">
        <f>J243-'[1]додаток сесія_актуальна'!J254</f>
        <v>0</v>
      </c>
      <c r="K265" s="107">
        <f>K243-'[1]додаток сесія_актуальна'!K254</f>
        <v>0</v>
      </c>
      <c r="L265" s="107">
        <f>L243-'[1]додаток сесія_актуальна'!L254</f>
        <v>0</v>
      </c>
      <c r="M265" s="107">
        <f>M243-'[1]додаток сесія_актуальна'!M254</f>
        <v>0</v>
      </c>
      <c r="N265" s="107"/>
      <c r="O265" s="107">
        <f>O243-'[1]додаток сесія_актуальна'!N254</f>
        <v>0</v>
      </c>
    </row>
    <row r="266" spans="7:23" x14ac:dyDescent="0.2">
      <c r="G266" s="107">
        <f>G243-[1]проверкаЗагсум!G23</f>
        <v>0</v>
      </c>
      <c r="H266" s="107">
        <f>H243-[1]проверкаЗагсум!H23</f>
        <v>0</v>
      </c>
      <c r="I266" s="107">
        <f>I243-[1]проверкаЗагсум!I23</f>
        <v>0</v>
      </c>
      <c r="J266" s="107">
        <f>J243-[1]проверкаЗагсум!J23</f>
        <v>0</v>
      </c>
      <c r="K266" s="107">
        <f>K243-[1]проверкаЗагсум!K23</f>
        <v>0</v>
      </c>
      <c r="L266" s="107">
        <f>L243-[1]проверкаЗагсум!L23</f>
        <v>0</v>
      </c>
      <c r="M266" s="107">
        <f>M243-[1]проверкаЗагсум!M23</f>
        <v>0</v>
      </c>
      <c r="N266" s="107"/>
      <c r="O266" s="107">
        <f>O243-[1]проверкаЗагсум!N23</f>
        <v>0</v>
      </c>
      <c r="P266" s="107">
        <f>P243-[1]проверкаЗагсум!O23</f>
        <v>0</v>
      </c>
      <c r="Q266" s="107">
        <f>Q243-[1]проверкаЗагсум!P23</f>
        <v>0</v>
      </c>
      <c r="R266" s="107">
        <f>R243-[1]проверкаЗагсум!Q23</f>
        <v>0</v>
      </c>
      <c r="S266" s="107">
        <f>S243-[1]проверкаЗагсум!R23</f>
        <v>0</v>
      </c>
      <c r="T266" s="107">
        <f>T243-[1]проверкаЗагсум!S23</f>
        <v>0</v>
      </c>
      <c r="U266" s="107">
        <f>U243-[1]проверкаЗагсум!T23</f>
        <v>0</v>
      </c>
    </row>
  </sheetData>
  <sheetProtection selectLockedCells="1" selectUnlockedCells="1"/>
  <mergeCells count="46">
    <mergeCell ref="B244:U244"/>
    <mergeCell ref="B246:K246"/>
    <mergeCell ref="B77:B78"/>
    <mergeCell ref="E77:E78"/>
    <mergeCell ref="A238:B238"/>
    <mergeCell ref="C238:E238"/>
    <mergeCell ref="E240:E241"/>
    <mergeCell ref="A242:B242"/>
    <mergeCell ref="C242:E242"/>
    <mergeCell ref="A243:B243"/>
    <mergeCell ref="A216:B216"/>
    <mergeCell ref="C216:E216"/>
    <mergeCell ref="B217:B223"/>
    <mergeCell ref="E217:E220"/>
    <mergeCell ref="E221:E222"/>
    <mergeCell ref="A233:B233"/>
    <mergeCell ref="A59:A60"/>
    <mergeCell ref="B67:B69"/>
    <mergeCell ref="A68:A69"/>
    <mergeCell ref="A79:B79"/>
    <mergeCell ref="S9:S10"/>
    <mergeCell ref="A35:A38"/>
    <mergeCell ref="M9:M10"/>
    <mergeCell ref="N9:N10"/>
    <mergeCell ref="O9:O10"/>
    <mergeCell ref="P9:P10"/>
    <mergeCell ref="G9:G10"/>
    <mergeCell ref="H9:H10"/>
    <mergeCell ref="I9:I10"/>
    <mergeCell ref="J9:J10"/>
    <mergeCell ref="K9:K10"/>
    <mergeCell ref="L9:L10"/>
    <mergeCell ref="L3:U3"/>
    <mergeCell ref="M4:U4"/>
    <mergeCell ref="A5:U5"/>
    <mergeCell ref="A7:A10"/>
    <mergeCell ref="B7:B10"/>
    <mergeCell ref="C7:C10"/>
    <mergeCell ref="D7:D10"/>
    <mergeCell ref="E7:E10"/>
    <mergeCell ref="F7:F10"/>
    <mergeCell ref="G7:U8"/>
    <mergeCell ref="T9:T10"/>
    <mergeCell ref="U9:U10"/>
    <mergeCell ref="Q9:Q10"/>
    <mergeCell ref="R9:R10"/>
  </mergeCells>
  <printOptions horizontalCentered="1"/>
  <pageMargins left="0.39370078740157483" right="0.39370078740157483" top="0.59055118110236227" bottom="0.39370078740157483" header="0.43307086614173229" footer="0"/>
  <pageSetup paperSize="9" scale="58" firstPageNumber="0" fitToHeight="17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2" manualBreakCount="2">
    <brk id="63" min="1" max="20" man="1"/>
    <brk id="79" min="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додаток сесія_2024_2028_05.24</vt:lpstr>
      <vt:lpstr>додаток до програми_2024_2028</vt:lpstr>
      <vt:lpstr>додаток сесія_2024_2028_161 (2</vt:lpstr>
      <vt:lpstr>додаток сесія_актуальна</vt:lpstr>
      <vt:lpstr>додаток сесія_2024_2028_0124</vt:lpstr>
      <vt:lpstr>'додаток до програми_2024_2028'!Заголовки_для_печати</vt:lpstr>
      <vt:lpstr>'додаток сесія_2024_2028_0124'!Заголовки_для_печати</vt:lpstr>
      <vt:lpstr>'додаток сесія_2024_2028_05.24'!Заголовки_для_печати</vt:lpstr>
      <vt:lpstr>'додаток сесія_2024_2028_161 (2'!Заголовки_для_печати</vt:lpstr>
      <vt:lpstr>'додаток до програми_2024_2028'!Область_печати</vt:lpstr>
      <vt:lpstr>'додаток сесія_2024_2028_0124'!Область_печати</vt:lpstr>
      <vt:lpstr>'додаток сесія_2024_2028_05.24'!Область_печати</vt:lpstr>
      <vt:lpstr>'додаток сесія_2024_2028_161 (2'!Область_печати</vt:lpstr>
      <vt:lpstr>'додаток сесія_актуальна'!Область_печати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transport245_2</dc:creator>
  <cp:lastModifiedBy>org301</cp:lastModifiedBy>
  <cp:lastPrinted>2024-05-23T08:10:29Z</cp:lastPrinted>
  <dcterms:created xsi:type="dcterms:W3CDTF">2023-11-20T09:28:23Z</dcterms:created>
  <dcterms:modified xsi:type="dcterms:W3CDTF">2024-05-28T11:48:22Z</dcterms:modified>
</cp:coreProperties>
</file>