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5\RadaData\АКТУАЛЬНА ІНФОРМАЦІЯ\_ ЛИСТУВАННЯ  МІЖ ВІДДІЛАМИ\_для УОПР\Бреус С.М\Виконком_серпень\ПРОЄКТИ\УТіЗ\ВИКОНКОМ_Електро- та автотранспорт\"/>
    </mc:Choice>
  </mc:AlternateContent>
  <bookViews>
    <workbookView xWindow="0" yWindow="0" windowWidth="20490" windowHeight="7155" activeTab="2"/>
  </bookViews>
  <sheets>
    <sheet name="додаток сесія_1901_решение" sheetId="1" r:id="rId1"/>
    <sheet name="станом на 23.02.22" sheetId="2" r:id="rId2"/>
    <sheet name="Зміни" sheetId="3" r:id="rId3"/>
    <sheet name="+-" sheetId="4" r:id="rId4"/>
  </sheets>
  <externalReferences>
    <externalReference r:id="rId5"/>
  </externalReferences>
  <definedNames>
    <definedName name="_xlnm.Print_Area" localSheetId="3">'+-'!$A$2:$L$42</definedName>
    <definedName name="_xlnm.Print_Area" localSheetId="0">'додаток сесія_1901_решение'!$A$2:$O$250</definedName>
    <definedName name="_xlnm.Print_Area" localSheetId="2">Зміни!$A$2:$O$41</definedName>
    <definedName name="_xlnm.Print_Area" localSheetId="1">'станом на 23.02.22'!$A$2:$O$248</definedName>
  </definedNames>
  <calcPr calcId="152511"/>
</workbook>
</file>

<file path=xl/calcChain.xml><?xml version="1.0" encoding="utf-8"?>
<calcChain xmlns="http://schemas.openxmlformats.org/spreadsheetml/2006/main">
  <c r="N27" i="3" l="1"/>
  <c r="N25" i="3"/>
  <c r="L32" i="4" l="1"/>
  <c r="Q34" i="3"/>
  <c r="K33" i="4"/>
  <c r="L33" i="4"/>
  <c r="O32" i="3"/>
  <c r="K34" i="4" l="1"/>
  <c r="L34" i="4"/>
  <c r="K35" i="4"/>
  <c r="L35" i="4"/>
  <c r="K36" i="4"/>
  <c r="L36" i="4"/>
  <c r="K37" i="4"/>
  <c r="K38" i="4"/>
  <c r="L38" i="4"/>
  <c r="K32" i="4"/>
  <c r="O27" i="3" l="1"/>
  <c r="L26" i="3"/>
  <c r="O26" i="3" s="1"/>
  <c r="M25" i="3"/>
  <c r="L25" i="3"/>
  <c r="K13" i="4"/>
  <c r="J14" i="4"/>
  <c r="H14" i="4"/>
  <c r="I14" i="4"/>
  <c r="G14" i="4"/>
  <c r="K14" i="4" s="1"/>
  <c r="K30" i="4"/>
  <c r="L30" i="4"/>
  <c r="K31" i="4"/>
  <c r="L29" i="4"/>
  <c r="K29" i="4"/>
  <c r="K18" i="4"/>
  <c r="K19" i="4"/>
  <c r="K17" i="4"/>
  <c r="L16" i="4"/>
  <c r="K16" i="4"/>
  <c r="L13" i="4"/>
  <c r="L39" i="4"/>
  <c r="L25" i="4"/>
  <c r="L24" i="4"/>
  <c r="L23" i="4"/>
  <c r="L22" i="4"/>
  <c r="L21" i="4"/>
  <c r="L20" i="4"/>
  <c r="J39" i="4"/>
  <c r="J38" i="4"/>
  <c r="J37" i="4"/>
  <c r="L37" i="4" s="1"/>
  <c r="J36" i="4"/>
  <c r="J35" i="4"/>
  <c r="J34" i="4"/>
  <c r="J31" i="4"/>
  <c r="L31" i="4" s="1"/>
  <c r="J25" i="4"/>
  <c r="J24" i="4"/>
  <c r="J23" i="4"/>
  <c r="I13" i="4"/>
  <c r="H38" i="4"/>
  <c r="H37" i="4"/>
  <c r="H36" i="4"/>
  <c r="H35" i="4"/>
  <c r="H34" i="4"/>
  <c r="H31" i="4"/>
  <c r="H24" i="4"/>
  <c r="H23" i="4"/>
  <c r="L19" i="4"/>
  <c r="L17" i="4"/>
  <c r="O25" i="3" l="1"/>
  <c r="L14" i="4" l="1"/>
  <c r="L18" i="4"/>
  <c r="O34" i="3"/>
  <c r="O31" i="3"/>
  <c r="O33" i="3"/>
  <c r="O35" i="3"/>
  <c r="K13" i="3"/>
  <c r="J13" i="3"/>
  <c r="O24" i="3"/>
  <c r="N18" i="3"/>
  <c r="N17" i="3"/>
  <c r="O22" i="3"/>
  <c r="O23" i="3"/>
  <c r="N13" i="3" l="1"/>
  <c r="O38" i="3"/>
  <c r="O36" i="3"/>
  <c r="M19" i="3"/>
  <c r="M18" i="3"/>
  <c r="O18" i="3" s="1"/>
  <c r="L17" i="3"/>
  <c r="L16" i="3"/>
  <c r="M15" i="3"/>
  <c r="L13" i="3" l="1"/>
  <c r="M13" i="3"/>
  <c r="O16" i="3"/>
  <c r="O17" i="3"/>
  <c r="O37" i="3"/>
  <c r="O19" i="3"/>
  <c r="O21" i="3"/>
  <c r="O20" i="3"/>
  <c r="O15" i="3"/>
  <c r="N243" i="2"/>
  <c r="M243" i="2"/>
  <c r="L243" i="2"/>
  <c r="K243" i="2"/>
  <c r="J243" i="2"/>
  <c r="I243" i="2"/>
  <c r="H243" i="2"/>
  <c r="G243" i="2"/>
  <c r="O242" i="2"/>
  <c r="O238" i="2"/>
  <c r="N237" i="2"/>
  <c r="M237" i="2"/>
  <c r="L237" i="2"/>
  <c r="K237" i="2"/>
  <c r="J237" i="2"/>
  <c r="I237" i="2"/>
  <c r="H237" i="2"/>
  <c r="G237" i="2"/>
  <c r="O236" i="2"/>
  <c r="O235" i="2"/>
  <c r="O234" i="2"/>
  <c r="O233" i="2"/>
  <c r="K232" i="2"/>
  <c r="J232" i="2"/>
  <c r="I232" i="2"/>
  <c r="H232" i="2"/>
  <c r="G232" i="2"/>
  <c r="O231" i="2"/>
  <c r="N230" i="2"/>
  <c r="N232" i="2" s="1"/>
  <c r="M230" i="2"/>
  <c r="M232" i="2" s="1"/>
  <c r="L230" i="2"/>
  <c r="L232" i="2" s="1"/>
  <c r="O226" i="2"/>
  <c r="O225" i="2"/>
  <c r="O224" i="2"/>
  <c r="O223" i="2"/>
  <c r="O222" i="2"/>
  <c r="O221" i="2"/>
  <c r="O220" i="2"/>
  <c r="O219" i="2"/>
  <c r="O218" i="2"/>
  <c r="O217" i="2"/>
  <c r="O216" i="2"/>
  <c r="O215" i="2"/>
  <c r="P211" i="2"/>
  <c r="N211" i="2"/>
  <c r="G211" i="2"/>
  <c r="P210" i="2"/>
  <c r="O210" i="2"/>
  <c r="P209" i="2"/>
  <c r="O209" i="2"/>
  <c r="O208" i="2"/>
  <c r="O207" i="2"/>
  <c r="O206" i="2"/>
  <c r="O205" i="2"/>
  <c r="L204" i="2"/>
  <c r="O204" i="2" s="1"/>
  <c r="L203" i="2"/>
  <c r="O203" i="2" s="1"/>
  <c r="O202" i="2"/>
  <c r="P201" i="2"/>
  <c r="M201" i="2"/>
  <c r="O201" i="2" s="1"/>
  <c r="P200" i="2"/>
  <c r="O200" i="2"/>
  <c r="O196" i="2"/>
  <c r="O195" i="2"/>
  <c r="M194" i="2"/>
  <c r="O194" i="2" s="1"/>
  <c r="O193" i="2"/>
  <c r="O192" i="2"/>
  <c r="O191" i="2"/>
  <c r="O190" i="2"/>
  <c r="O189" i="2"/>
  <c r="O188" i="2"/>
  <c r="O187" i="2"/>
  <c r="O186" i="2"/>
  <c r="O185" i="2"/>
  <c r="M184" i="2"/>
  <c r="L184" i="2"/>
  <c r="P183" i="2"/>
  <c r="O183" i="2"/>
  <c r="M183" i="2"/>
  <c r="P182" i="2"/>
  <c r="O182" i="2"/>
  <c r="M181" i="2"/>
  <c r="O181" i="2" s="1"/>
  <c r="O180" i="2"/>
  <c r="O179" i="2"/>
  <c r="M175" i="2"/>
  <c r="O175" i="2" s="1"/>
  <c r="L174" i="2"/>
  <c r="O174" i="2" s="1"/>
  <c r="P173" i="2"/>
  <c r="M173" i="2"/>
  <c r="O173" i="2" s="1"/>
  <c r="P172" i="2"/>
  <c r="M172" i="2"/>
  <c r="L172" i="2"/>
  <c r="M171" i="2"/>
  <c r="O171" i="2" s="1"/>
  <c r="M170" i="2"/>
  <c r="O170" i="2" s="1"/>
  <c r="O169" i="2"/>
  <c r="O168" i="2"/>
  <c r="M167" i="2"/>
  <c r="L167" i="2"/>
  <c r="O167" i="2" s="1"/>
  <c r="O166" i="2"/>
  <c r="O165" i="2"/>
  <c r="O161" i="2"/>
  <c r="O160" i="2"/>
  <c r="O159" i="2"/>
  <c r="O158" i="2"/>
  <c r="M157" i="2"/>
  <c r="O157" i="2" s="1"/>
  <c r="O156" i="2"/>
  <c r="M155" i="2"/>
  <c r="O155" i="2" s="1"/>
  <c r="O154" i="2"/>
  <c r="O153" i="2"/>
  <c r="O149" i="2"/>
  <c r="O148" i="2"/>
  <c r="O147" i="2"/>
  <c r="O146" i="2"/>
  <c r="O145" i="2"/>
  <c r="O144" i="2"/>
  <c r="O143" i="2"/>
  <c r="O142" i="2"/>
  <c r="O141" i="2"/>
  <c r="O140" i="2"/>
  <c r="O136" i="2"/>
  <c r="O135" i="2"/>
  <c r="O134" i="2"/>
  <c r="O133" i="2"/>
  <c r="O132" i="2"/>
  <c r="O131" i="2"/>
  <c r="O130" i="2"/>
  <c r="O129" i="2"/>
  <c r="M128" i="2"/>
  <c r="O128" i="2" s="1"/>
  <c r="O127" i="2"/>
  <c r="M126" i="2"/>
  <c r="O126" i="2" s="1"/>
  <c r="O122" i="2"/>
  <c r="L121" i="2"/>
  <c r="O121" i="2" s="1"/>
  <c r="O120" i="2"/>
  <c r="O119" i="2"/>
  <c r="O118" i="2"/>
  <c r="O117" i="2"/>
  <c r="O116" i="2"/>
  <c r="M115" i="2"/>
  <c r="L115" i="2"/>
  <c r="O115" i="2" s="1"/>
  <c r="O114" i="2"/>
  <c r="O110" i="2"/>
  <c r="O109" i="2"/>
  <c r="M108" i="2"/>
  <c r="L108" i="2"/>
  <c r="O108" i="2" s="1"/>
  <c r="O107" i="2"/>
  <c r="O106" i="2"/>
  <c r="O105" i="2"/>
  <c r="J104" i="2"/>
  <c r="J211" i="2" s="1"/>
  <c r="I104" i="2"/>
  <c r="I211" i="2" s="1"/>
  <c r="H104" i="2"/>
  <c r="O104" i="2" s="1"/>
  <c r="O103" i="2"/>
  <c r="O102" i="2"/>
  <c r="O98" i="2"/>
  <c r="O97" i="2"/>
  <c r="O96" i="2"/>
  <c r="O95" i="2"/>
  <c r="L94" i="2"/>
  <c r="O94" i="2" s="1"/>
  <c r="O93" i="2"/>
  <c r="H93" i="2"/>
  <c r="L92" i="2"/>
  <c r="L91" i="2"/>
  <c r="H91" i="2"/>
  <c r="P87" i="2"/>
  <c r="K87" i="2"/>
  <c r="J87" i="2"/>
  <c r="I87" i="2"/>
  <c r="O85" i="2"/>
  <c r="P84" i="2"/>
  <c r="O84" i="2"/>
  <c r="N84" i="2"/>
  <c r="M84" i="2"/>
  <c r="P83" i="2"/>
  <c r="O83" i="2"/>
  <c r="P82" i="2"/>
  <c r="M82" i="2"/>
  <c r="L82" i="2"/>
  <c r="O82" i="2" s="1"/>
  <c r="O81" i="2"/>
  <c r="O80" i="2"/>
  <c r="O79" i="2"/>
  <c r="L79" i="2"/>
  <c r="O78" i="2"/>
  <c r="O77" i="2"/>
  <c r="L76" i="2"/>
  <c r="O76" i="2" s="1"/>
  <c r="O75" i="2"/>
  <c r="O71" i="2"/>
  <c r="O70" i="2"/>
  <c r="O69" i="2"/>
  <c r="M69" i="2"/>
  <c r="O68" i="2"/>
  <c r="M67" i="2"/>
  <c r="O67" i="2" s="1"/>
  <c r="O66" i="2"/>
  <c r="M66" i="2"/>
  <c r="O65" i="2"/>
  <c r="N64" i="2"/>
  <c r="M64" i="2"/>
  <c r="L64" i="2"/>
  <c r="O64" i="2" s="1"/>
  <c r="O63" i="2"/>
  <c r="M59" i="2"/>
  <c r="L59" i="2"/>
  <c r="O58" i="2"/>
  <c r="O57" i="2"/>
  <c r="O56" i="2"/>
  <c r="M56" i="2"/>
  <c r="M55" i="2"/>
  <c r="O55" i="2" s="1"/>
  <c r="L54" i="2"/>
  <c r="L53" i="2"/>
  <c r="O53" i="2" s="1"/>
  <c r="M52" i="2"/>
  <c r="O52" i="2" s="1"/>
  <c r="N50" i="2"/>
  <c r="O49" i="2"/>
  <c r="G48" i="2"/>
  <c r="G87" i="2" s="1"/>
  <c r="O47" i="2"/>
  <c r="L47" i="2"/>
  <c r="H46" i="2"/>
  <c r="O46" i="2" s="1"/>
  <c r="O42" i="2"/>
  <c r="N41" i="2"/>
  <c r="O41" i="2" s="1"/>
  <c r="O40" i="2"/>
  <c r="M40" i="2"/>
  <c r="O39" i="2"/>
  <c r="O38" i="2"/>
  <c r="O34" i="2"/>
  <c r="N33" i="2"/>
  <c r="N87" i="2" s="1"/>
  <c r="H33" i="2"/>
  <c r="L32" i="2"/>
  <c r="O32" i="2" s="1"/>
  <c r="L31" i="2"/>
  <c r="O31" i="2" s="1"/>
  <c r="L30" i="2"/>
  <c r="O30" i="2" s="1"/>
  <c r="O29" i="2"/>
  <c r="O28" i="2"/>
  <c r="O27" i="2"/>
  <c r="O26" i="2"/>
  <c r="O22" i="2"/>
  <c r="O21" i="2"/>
  <c r="O20" i="2"/>
  <c r="O19" i="2"/>
  <c r="O18" i="2"/>
  <c r="O17" i="2"/>
  <c r="O16" i="2"/>
  <c r="O15" i="2"/>
  <c r="L12" i="2"/>
  <c r="H12" i="2"/>
  <c r="O12" i="2" s="1"/>
  <c r="N244" i="1"/>
  <c r="M244" i="1"/>
  <c r="L244" i="1"/>
  <c r="K244" i="1"/>
  <c r="J244" i="1"/>
  <c r="I244" i="1"/>
  <c r="H244" i="1"/>
  <c r="G244" i="1"/>
  <c r="O243" i="1"/>
  <c r="O239" i="1"/>
  <c r="O244" i="1" s="1"/>
  <c r="N238" i="1"/>
  <c r="M238" i="1"/>
  <c r="L238" i="1"/>
  <c r="K238" i="1"/>
  <c r="J238" i="1"/>
  <c r="I238" i="1"/>
  <c r="H238" i="1"/>
  <c r="G238" i="1"/>
  <c r="O237" i="1"/>
  <c r="O236" i="1"/>
  <c r="O235" i="1"/>
  <c r="O234" i="1"/>
  <c r="K233" i="1"/>
  <c r="J233" i="1"/>
  <c r="I233" i="1"/>
  <c r="H233" i="1"/>
  <c r="G233" i="1"/>
  <c r="O232" i="1"/>
  <c r="O231" i="1"/>
  <c r="N230" i="1"/>
  <c r="M230" i="1"/>
  <c r="M233" i="1" s="1"/>
  <c r="L230" i="1"/>
  <c r="L233" i="1" s="1"/>
  <c r="O226" i="1"/>
  <c r="O225" i="1"/>
  <c r="O224" i="1"/>
  <c r="O223" i="1"/>
  <c r="O222" i="1"/>
  <c r="O221" i="1"/>
  <c r="O220" i="1"/>
  <c r="O219" i="1"/>
  <c r="O218" i="1"/>
  <c r="O217" i="1"/>
  <c r="O216" i="1"/>
  <c r="N215" i="1"/>
  <c r="O215" i="1" s="1"/>
  <c r="P211" i="1"/>
  <c r="G211" i="1"/>
  <c r="P210" i="1"/>
  <c r="O210" i="1"/>
  <c r="P209" i="1"/>
  <c r="O209" i="1"/>
  <c r="O208" i="1"/>
  <c r="O207" i="1"/>
  <c r="O206" i="1"/>
  <c r="O205" i="1"/>
  <c r="L204" i="1"/>
  <c r="O204" i="1" s="1"/>
  <c r="L203" i="1"/>
  <c r="O203" i="1" s="1"/>
  <c r="O202" i="1"/>
  <c r="P201" i="1"/>
  <c r="M201" i="1"/>
  <c r="O201" i="1" s="1"/>
  <c r="P200" i="1"/>
  <c r="O200" i="1"/>
  <c r="O196" i="1"/>
  <c r="O195" i="1"/>
  <c r="M194" i="1"/>
  <c r="O194" i="1" s="1"/>
  <c r="O193" i="1"/>
  <c r="O192" i="1"/>
  <c r="O191" i="1"/>
  <c r="O190" i="1"/>
  <c r="O189" i="1"/>
  <c r="O188" i="1"/>
  <c r="O187" i="1"/>
  <c r="O186" i="1"/>
  <c r="O185" i="1"/>
  <c r="M184" i="1"/>
  <c r="L184" i="1"/>
  <c r="P183" i="1"/>
  <c r="M183" i="1"/>
  <c r="O183" i="1" s="1"/>
  <c r="P182" i="1"/>
  <c r="O182" i="1"/>
  <c r="N181" i="1"/>
  <c r="M181" i="1"/>
  <c r="O181" i="1" s="1"/>
  <c r="O180" i="1"/>
  <c r="N179" i="1"/>
  <c r="O179" i="1" s="1"/>
  <c r="M175" i="1"/>
  <c r="O175" i="1" s="1"/>
  <c r="L174" i="1"/>
  <c r="O174" i="1" s="1"/>
  <c r="P173" i="1"/>
  <c r="M173" i="1"/>
  <c r="O173" i="1" s="1"/>
  <c r="P172" i="1"/>
  <c r="N172" i="1"/>
  <c r="M172" i="1"/>
  <c r="L172" i="1"/>
  <c r="N171" i="1"/>
  <c r="M171" i="1"/>
  <c r="M170" i="1"/>
  <c r="O170" i="1" s="1"/>
  <c r="O169" i="1"/>
  <c r="O168" i="1"/>
  <c r="M167" i="1"/>
  <c r="L167" i="1"/>
  <c r="O167" i="1" s="1"/>
  <c r="O166" i="1"/>
  <c r="O165" i="1"/>
  <c r="O161" i="1"/>
  <c r="O160" i="1"/>
  <c r="O159" i="1"/>
  <c r="O158" i="1"/>
  <c r="M157" i="1"/>
  <c r="O157" i="1" s="1"/>
  <c r="O156" i="1"/>
  <c r="O155" i="1"/>
  <c r="M155" i="1"/>
  <c r="O154" i="1"/>
  <c r="O153" i="1"/>
  <c r="O149" i="1"/>
  <c r="O148" i="1"/>
  <c r="O147" i="1"/>
  <c r="O146" i="1"/>
  <c r="O145" i="1"/>
  <c r="O144" i="1"/>
  <c r="O143" i="1"/>
  <c r="O142" i="1"/>
  <c r="O141" i="1"/>
  <c r="O140" i="1"/>
  <c r="O136" i="1"/>
  <c r="O135" i="1"/>
  <c r="O134" i="1"/>
  <c r="O133" i="1"/>
  <c r="O132" i="1"/>
  <c r="O131" i="1"/>
  <c r="O130" i="1"/>
  <c r="O129" i="1"/>
  <c r="M128" i="1"/>
  <c r="O128" i="1" s="1"/>
  <c r="O127" i="1"/>
  <c r="O126" i="1"/>
  <c r="M126" i="1"/>
  <c r="O122" i="1"/>
  <c r="L121" i="1"/>
  <c r="O121" i="1" s="1"/>
  <c r="O120" i="1"/>
  <c r="O119" i="1"/>
  <c r="O118" i="1"/>
  <c r="O117" i="1"/>
  <c r="O116" i="1"/>
  <c r="M115" i="1"/>
  <c r="L115" i="1"/>
  <c r="O115" i="1" s="1"/>
  <c r="O114" i="1"/>
  <c r="O110" i="1"/>
  <c r="O109" i="1"/>
  <c r="M108" i="1"/>
  <c r="L108" i="1"/>
  <c r="O107" i="1"/>
  <c r="O106" i="1"/>
  <c r="O105" i="1"/>
  <c r="J104" i="1"/>
  <c r="J211" i="1" s="1"/>
  <c r="I104" i="1"/>
  <c r="I211" i="1" s="1"/>
  <c r="H104" i="1"/>
  <c r="O103" i="1"/>
  <c r="O102" i="1"/>
  <c r="O98" i="1"/>
  <c r="O97" i="1"/>
  <c r="O96" i="1"/>
  <c r="O95" i="1"/>
  <c r="L94" i="1"/>
  <c r="O94" i="1" s="1"/>
  <c r="H93" i="1"/>
  <c r="O93" i="1" s="1"/>
  <c r="L92" i="1"/>
  <c r="O92" i="1" s="1"/>
  <c r="L91" i="1"/>
  <c r="H91" i="1"/>
  <c r="P87" i="1"/>
  <c r="K87" i="1"/>
  <c r="J87" i="1"/>
  <c r="I87" i="1"/>
  <c r="O86" i="1"/>
  <c r="R86" i="1" s="1"/>
  <c r="O85" i="1"/>
  <c r="R85" i="1" s="1"/>
  <c r="P84" i="1"/>
  <c r="N84" i="1"/>
  <c r="M84" i="1"/>
  <c r="P83" i="1"/>
  <c r="O83" i="1"/>
  <c r="S83" i="1" s="1"/>
  <c r="P82" i="1"/>
  <c r="M82" i="1"/>
  <c r="L82" i="1"/>
  <c r="O82" i="1" s="1"/>
  <c r="R81" i="1"/>
  <c r="O81" i="1"/>
  <c r="S81" i="1" s="1"/>
  <c r="O80" i="1"/>
  <c r="R80" i="1" s="1"/>
  <c r="L79" i="1"/>
  <c r="O79" i="1" s="1"/>
  <c r="S79" i="1" s="1"/>
  <c r="O78" i="1"/>
  <c r="S78" i="1" s="1"/>
  <c r="N77" i="1"/>
  <c r="O77" i="1" s="1"/>
  <c r="L76" i="1"/>
  <c r="O76" i="1" s="1"/>
  <c r="R76" i="1" s="1"/>
  <c r="O75" i="1"/>
  <c r="R75" i="1" s="1"/>
  <c r="S74" i="1"/>
  <c r="R74" i="1"/>
  <c r="S73" i="1"/>
  <c r="R73" i="1"/>
  <c r="S72" i="1"/>
  <c r="R72" i="1"/>
  <c r="O71" i="1"/>
  <c r="S71" i="1" s="1"/>
  <c r="S70" i="1"/>
  <c r="O70" i="1"/>
  <c r="R70" i="1" s="1"/>
  <c r="M69" i="1"/>
  <c r="O69" i="1" s="1"/>
  <c r="O68" i="1"/>
  <c r="S68" i="1" s="1"/>
  <c r="M67" i="1"/>
  <c r="O67" i="1" s="1"/>
  <c r="O66" i="1"/>
  <c r="R66" i="1" s="1"/>
  <c r="M66" i="1"/>
  <c r="S65" i="1"/>
  <c r="O65" i="1"/>
  <c r="R65" i="1" s="1"/>
  <c r="N64" i="1"/>
  <c r="M64" i="1"/>
  <c r="O64" i="1" s="1"/>
  <c r="S64" i="1" s="1"/>
  <c r="L64" i="1"/>
  <c r="N63" i="1"/>
  <c r="M63" i="1"/>
  <c r="O63" i="1" s="1"/>
  <c r="S62" i="1"/>
  <c r="R62" i="1"/>
  <c r="S61" i="1"/>
  <c r="R61" i="1"/>
  <c r="S60" i="1"/>
  <c r="R60" i="1"/>
  <c r="N59" i="1"/>
  <c r="M59" i="1"/>
  <c r="O59" i="1" s="1"/>
  <c r="R59" i="1" s="1"/>
  <c r="L59" i="1"/>
  <c r="O58" i="1"/>
  <c r="R58" i="1" s="1"/>
  <c r="O57" i="1"/>
  <c r="S57" i="1" s="1"/>
  <c r="M56" i="1"/>
  <c r="O56" i="1" s="1"/>
  <c r="R56" i="1" s="1"/>
  <c r="M55" i="1"/>
  <c r="O55" i="1" s="1"/>
  <c r="L54" i="1"/>
  <c r="O54" i="1" s="1"/>
  <c r="L53" i="1"/>
  <c r="O53" i="1" s="1"/>
  <c r="R53" i="1" s="1"/>
  <c r="M52" i="1"/>
  <c r="O52" i="1" s="1"/>
  <c r="S51" i="1"/>
  <c r="R51" i="1"/>
  <c r="N50" i="1"/>
  <c r="O49" i="1"/>
  <c r="S49" i="1" s="1"/>
  <c r="G48" i="1"/>
  <c r="G87" i="1" s="1"/>
  <c r="N47" i="1"/>
  <c r="M47" i="1"/>
  <c r="L47" i="1"/>
  <c r="N46" i="1"/>
  <c r="H46" i="1"/>
  <c r="O46" i="1" s="1"/>
  <c r="S45" i="1"/>
  <c r="R45" i="1"/>
  <c r="S44" i="1"/>
  <c r="R44" i="1"/>
  <c r="S43" i="1"/>
  <c r="R43" i="1"/>
  <c r="S42" i="1"/>
  <c r="O42" i="1"/>
  <c r="R42" i="1" s="1"/>
  <c r="N41" i="1"/>
  <c r="O41" i="1" s="1"/>
  <c r="M40" i="1"/>
  <c r="O40" i="1" s="1"/>
  <c r="O39" i="1"/>
  <c r="R39" i="1" s="1"/>
  <c r="O38" i="1"/>
  <c r="R38" i="1" s="1"/>
  <c r="S37" i="1"/>
  <c r="R37" i="1"/>
  <c r="S36" i="1"/>
  <c r="R36" i="1"/>
  <c r="S35" i="1"/>
  <c r="R35" i="1"/>
  <c r="O34" i="1"/>
  <c r="S34" i="1" s="1"/>
  <c r="N33" i="1"/>
  <c r="H33" i="1"/>
  <c r="O33" i="1" s="1"/>
  <c r="R33" i="1" s="1"/>
  <c r="N32" i="1"/>
  <c r="L32" i="1"/>
  <c r="O32" i="1" s="1"/>
  <c r="L31" i="1"/>
  <c r="O31" i="1" s="1"/>
  <c r="L30" i="1"/>
  <c r="O30" i="1" s="1"/>
  <c r="O29" i="1"/>
  <c r="R29" i="1" s="1"/>
  <c r="S28" i="1"/>
  <c r="O28" i="1"/>
  <c r="R28" i="1" s="1"/>
  <c r="O27" i="1"/>
  <c r="R27" i="1" s="1"/>
  <c r="O26" i="1"/>
  <c r="S26" i="1" s="1"/>
  <c r="S25" i="1"/>
  <c r="R25" i="1"/>
  <c r="S24" i="1"/>
  <c r="R24" i="1"/>
  <c r="S23" i="1"/>
  <c r="R23" i="1"/>
  <c r="O22" i="1"/>
  <c r="R22" i="1" s="1"/>
  <c r="O21" i="1"/>
  <c r="R21" i="1" s="1"/>
  <c r="O20" i="1"/>
  <c r="R20" i="1" s="1"/>
  <c r="O19" i="1"/>
  <c r="R19" i="1" s="1"/>
  <c r="O18" i="1"/>
  <c r="R18" i="1" s="1"/>
  <c r="O17" i="1"/>
  <c r="S17" i="1" s="1"/>
  <c r="N16" i="1"/>
  <c r="O16" i="1" s="1"/>
  <c r="R16" i="1" s="1"/>
  <c r="N15" i="1"/>
  <c r="L12" i="1"/>
  <c r="O12" i="1" s="1"/>
  <c r="H12" i="1"/>
  <c r="O13" i="3" l="1"/>
  <c r="S39" i="1"/>
  <c r="L50" i="2"/>
  <c r="L211" i="2"/>
  <c r="H211" i="2"/>
  <c r="S19" i="1"/>
  <c r="O54" i="2"/>
  <c r="R26" i="1"/>
  <c r="R34" i="1"/>
  <c r="O172" i="2"/>
  <c r="O237" i="2"/>
  <c r="O243" i="2"/>
  <c r="R49" i="1"/>
  <c r="R57" i="1"/>
  <c r="O91" i="1"/>
  <c r="O48" i="2"/>
  <c r="M211" i="2"/>
  <c r="O33" i="2"/>
  <c r="O59" i="2"/>
  <c r="O184" i="2"/>
  <c r="L50" i="1"/>
  <c r="N211" i="1"/>
  <c r="K244" i="2"/>
  <c r="O230" i="2"/>
  <c r="O232" i="2" s="1"/>
  <c r="R17" i="1"/>
  <c r="O172" i="1"/>
  <c r="S63" i="1"/>
  <c r="R63" i="1"/>
  <c r="S69" i="1"/>
  <c r="R69" i="1"/>
  <c r="S41" i="1"/>
  <c r="R41" i="1"/>
  <c r="S54" i="1"/>
  <c r="R54" i="1"/>
  <c r="R77" i="1"/>
  <c r="S77" i="1"/>
  <c r="S12" i="1"/>
  <c r="R12" i="1"/>
  <c r="S82" i="1"/>
  <c r="R82" i="1"/>
  <c r="S67" i="1"/>
  <c r="R67" i="1"/>
  <c r="S30" i="1"/>
  <c r="R30" i="1"/>
  <c r="H87" i="1"/>
  <c r="S21" i="1"/>
  <c r="O47" i="1"/>
  <c r="S47" i="1" s="1"/>
  <c r="S75" i="1"/>
  <c r="S80" i="1"/>
  <c r="O84" i="1"/>
  <c r="S86" i="1"/>
  <c r="L211" i="1"/>
  <c r="O104" i="1"/>
  <c r="O108" i="1"/>
  <c r="O184" i="1"/>
  <c r="O230" i="1"/>
  <c r="O233" i="1" s="1"/>
  <c r="M211" i="1"/>
  <c r="O171" i="1"/>
  <c r="O238" i="1"/>
  <c r="O48" i="1"/>
  <c r="M50" i="1"/>
  <c r="R64" i="1"/>
  <c r="R71" i="1"/>
  <c r="R79" i="1"/>
  <c r="R83" i="1"/>
  <c r="N87" i="1"/>
  <c r="N233" i="1"/>
  <c r="G244" i="2"/>
  <c r="N244" i="2"/>
  <c r="L87" i="2"/>
  <c r="L244" i="2" s="1"/>
  <c r="I244" i="2"/>
  <c r="J244" i="2"/>
  <c r="O91" i="2"/>
  <c r="M50" i="2"/>
  <c r="M87" i="2" s="1"/>
  <c r="H87" i="2"/>
  <c r="H244" i="2" s="1"/>
  <c r="O92" i="2"/>
  <c r="S46" i="1"/>
  <c r="R46" i="1"/>
  <c r="S84" i="1"/>
  <c r="R84" i="1"/>
  <c r="G245" i="1"/>
  <c r="G254" i="1" s="1"/>
  <c r="N245" i="1"/>
  <c r="N254" i="1" s="1"/>
  <c r="S31" i="1"/>
  <c r="R31" i="1"/>
  <c r="S52" i="1"/>
  <c r="R52" i="1"/>
  <c r="I245" i="1"/>
  <c r="S32" i="1"/>
  <c r="R32" i="1"/>
  <c r="S40" i="1"/>
  <c r="R40" i="1"/>
  <c r="S55" i="1"/>
  <c r="R55" i="1"/>
  <c r="J245" i="1"/>
  <c r="O15" i="1"/>
  <c r="S16" i="1"/>
  <c r="S18" i="1"/>
  <c r="S20" i="1"/>
  <c r="S22" i="1"/>
  <c r="S27" i="1"/>
  <c r="S29" i="1"/>
  <c r="S33" i="1"/>
  <c r="S38" i="1"/>
  <c r="S53" i="1"/>
  <c r="S56" i="1"/>
  <c r="S58" i="1"/>
  <c r="S59" i="1"/>
  <c r="S66" i="1"/>
  <c r="R68" i="1"/>
  <c r="S76" i="1"/>
  <c r="R78" i="1"/>
  <c r="S85" i="1"/>
  <c r="K245" i="1"/>
  <c r="L87" i="1"/>
  <c r="M87" i="1"/>
  <c r="M245" i="1" s="1"/>
  <c r="H211" i="1"/>
  <c r="H245" i="1" s="1"/>
  <c r="H254" i="1" s="1"/>
  <c r="R47" i="1" l="1"/>
  <c r="K254" i="1"/>
  <c r="O211" i="1"/>
  <c r="I254" i="1"/>
  <c r="M244" i="2"/>
  <c r="M254" i="1" s="1"/>
  <c r="J254" i="1"/>
  <c r="O50" i="1"/>
  <c r="O87" i="1" s="1"/>
  <c r="S50" i="1"/>
  <c r="S48" i="1"/>
  <c r="R48" i="1"/>
  <c r="O211" i="2"/>
  <c r="O50" i="2"/>
  <c r="O87" i="2" s="1"/>
  <c r="S15" i="1"/>
  <c r="R15" i="1"/>
  <c r="L245" i="1"/>
  <c r="L254" i="1" s="1"/>
  <c r="R50" i="1" l="1"/>
  <c r="O244" i="2"/>
  <c r="S87" i="1"/>
  <c r="R87" i="1"/>
  <c r="O245" i="1"/>
  <c r="O254" i="1" s="1"/>
  <c r="Q87" i="1"/>
</calcChain>
</file>

<file path=xl/sharedStrings.xml><?xml version="1.0" encoding="utf-8"?>
<sst xmlns="http://schemas.openxmlformats.org/spreadsheetml/2006/main" count="1219" uniqueCount="272">
  <si>
    <r>
      <t xml:space="preserve">                                                               </t>
    </r>
    <r>
      <rPr>
        <i/>
        <sz val="16"/>
        <color indexed="8"/>
        <rFont val="Times New Roman"/>
        <family val="1"/>
        <charset val="204"/>
      </rPr>
      <t>Додаток 2</t>
    </r>
  </si>
  <si>
    <r>
      <t xml:space="preserve">                                                               </t>
    </r>
    <r>
      <rPr>
        <i/>
        <sz val="16"/>
        <color indexed="8"/>
        <rFont val="Times New Roman"/>
        <family val="1"/>
        <charset val="204"/>
      </rPr>
      <t>до рішення міської ради</t>
    </r>
  </si>
  <si>
    <t>Перелік завдань і заходів  Програми розвитку підприємств міського електро- та автотранспорту на 2016 – 2023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</si>
  <si>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</si>
  <si>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</si>
  <si>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</si>
  <si>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</si>
  <si>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</si>
  <si>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Джерела фінансу-вання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</si>
  <si>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</si>
  <si>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</si>
  <si>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</si>
  <si>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 Фінансове забезпечення комуналь-ного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</si>
  <si>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</si>
  <si>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>Управління транспорту та телекомунікацій виконкому Криворізької міської ради – головний розпорядник,                                                                                                                                                                                                                   КП «Міський тролейбус» – одержувач коштів</t>
  </si>
  <si>
    <t xml:space="preserve"> Бюджет Криворізької міської територіальної громади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</si>
  <si>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з системою керування тяговим двигуном постійного струму без рекуперації й дизель-генераторної установки); 
1.2.2 комплекту обладнання (мікропроцесорна система керування тяговим двигуном, дизель-генераторна установка, тощо) для забезпечення джерел резервного живлення на тролейбусах </t>
  </si>
  <si>
    <t>2016-2023</t>
  </si>
  <si>
    <t>1.3. Придбання окремих запчастин, ма-теріалів, вузлів, агрегатів, обладнання (устаткування) для виконання капіталь-них і капітально-відновлювальних ремо-нтів тролейбусів</t>
  </si>
  <si>
    <t>1.4. Розробка та погодження  проєкту технічних умов на тролейбус з автоно-мним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</si>
  <si>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</si>
  <si>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</si>
  <si>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 Кривого Рогу</t>
  </si>
  <si>
    <t>1.7. Розробка ескізного проєкту тролей-буса для м.Кривого Рогу</t>
  </si>
  <si>
    <t xml:space="preserve">1.8. Виконання робіт з капітального і ка-пітально-відновлювального ремонту тролейбусів, відновлення каркасів кузо-вів тролейбусів </t>
  </si>
  <si>
    <t>1.9. Розробка технічного проєкту й кон-структорської документації на вигото-влення низькопольного тролейбуса для                                                      м. Кривого  Рогу</t>
  </si>
  <si>
    <t xml:space="preserve">Продовження додатка 2  </t>
  </si>
  <si>
    <t>1.10. Розробка та погодження  проєкту технічних умов на  тролейбус  низько-польний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</si>
  <si>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</si>
  <si>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вигото-вленого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</si>
  <si>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тролей-буса</t>
  </si>
  <si>
    <t>1.14. Придбання запасних частин та ма-теріалів  для виконання поточного ре-монту контактної мережі тролейбуса на окремих ділянках</t>
  </si>
  <si>
    <t>1.15. Придбання окремих запчастин, ма-теріалів, вузлів, агрегатів для виконання поточних ремонтів тролейбусів</t>
  </si>
  <si>
    <t xml:space="preserve">1.16. Придбання автошин для Кому-нального підприємства «Міський тро-лейбус» </t>
  </si>
  <si>
    <t>1.17. Придбання комплекту обладнання  (електронної  системи керування тяго-вим двигуном тролейбуса)</t>
  </si>
  <si>
    <t>1.18. Поповнення статутного капіталу для придбання обладнання, матеріалів та  виконання робіт  на об'єкті «Технічне переоснащення розпо-дільчого пункту 6кВ та комірок пос-тійного струму  тягової підстанції № 4   КП «Міський тролейбус», м. Кривий Ріг, Дніпропетровська обл.» (співфінан-сування згідно з договором з ЄБРР)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</si>
  <si>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  №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КП «Міський тролейбус», м.Кривий Ріг, Дніпропетровська обл.»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</si>
  <si>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                         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</si>
  <si>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1.21.Поповнення статутного капіталу для придбання обладнання, матеріалів та  виконання робіт  на об'єкті «Технічне переоснащення електро- обладнання  тягової  підстанції   №6            КП «Міський тролейбус»,  м.Кривий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</si>
  <si>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      № 30 КП «Міський тролейбус», м.Кривий Ріг, Дніпропетровська обл.»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</si>
  <si>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еле-ктрообладнання тягової підстанції            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</si>
  <si>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електрооблад-нання тягових підстанцій підприємства та переведення його на телеуправління для Комунального підприємства «Міський тролейбус» в м. Кривому 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</si>
  <si>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</si>
  <si>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</si>
  <si>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жив-лення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</si>
  <si>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 , навісного обладнання</t>
  </si>
  <si>
    <t>2019-2023</t>
  </si>
  <si>
    <t>у тому числі:</t>
  </si>
  <si>
    <t>колісний навантажувач з телескопічною стрілою Bobcat T35.130SLP в комплекті з навісним обладнанням</t>
  </si>
  <si>
    <t>машина аварійна для ремонту  контактних мереж АТ-70М-041</t>
  </si>
  <si>
    <t xml:space="preserve">  автомобіль-самоскид вантажопідйом-ністю 24 тонни</t>
  </si>
  <si>
    <t>трактор з навісним обладнанням</t>
  </si>
  <si>
    <t>тракторний причіп 2ПТС-4</t>
  </si>
  <si>
    <t>міні-навантажувач в комплекті з навісним обладнанням</t>
  </si>
  <si>
    <t>навісне обладнання для тракторної техніки</t>
  </si>
  <si>
    <t xml:space="preserve">1.29. Придбання окремих запчастин, ма-теріалів для поточного ремонту авто-бусів </t>
  </si>
  <si>
    <t xml:space="preserve">1.30. Послуги з  поточного ремонту та технічного  обслуговування транспо-ртних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</si>
  <si>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</si>
  <si>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впровад-ження автоматизованої системи обліку оплати проїзду в комунальному транс-порті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</si>
  <si>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</si>
  <si>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вул.Армавірська,  30  в  Покровському районі м.Кривий Ріг Дніпропетровської області»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</si>
  <si>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</si>
  <si>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</si>
  <si>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</si>
  <si>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</si>
  <si>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</si>
  <si>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кабель-них високовольтних вводів до тягової підстанції №4)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</si>
  <si>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</si>
  <si>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</t>
  </si>
  <si>
    <r>
      <t>1.41. Придбання невмонтованого обла-днання (меблі, устаткування, облад-нання, інше), що включене у вартість зведеного кошторису на капітальне бу-дівництво  та  реконструкцію будов  і об</t>
    </r>
    <r>
      <rPr>
        <sz val="10.5"/>
        <color indexed="8"/>
        <rFont val="Calibri"/>
        <family val="2"/>
        <charset val="204"/>
      </rPr>
      <t>'</t>
    </r>
    <r>
      <rPr>
        <sz val="10.5"/>
        <color indexed="8"/>
        <rFont val="Times New Roman"/>
        <family val="1"/>
        <charset val="204"/>
      </rPr>
      <t>єктів</t>
    </r>
  </si>
  <si>
    <t>1.42. Поповнення статутного капіталу на виконання робіт щодо будівництва та облаштування автоматичної портальної мийки для автотранспорту та автобусів</t>
  </si>
  <si>
    <t>1.43. Поповнення статутного капіталу на придбання багатофункціональних модульних будівель</t>
  </si>
  <si>
    <t>1.44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</si>
  <si>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1.45 Поточний ремонт асфальтового покриття в  тролейбусних депо підприємства.</t>
  </si>
  <si>
    <t>Міський бюджет</t>
  </si>
  <si>
    <t>1.45 Забезпечення надання послуг з пе-ревезення пасажирів електротранспо-ртом  (у тому числі: на оплату праці з нарахуваннями на оплату праці, на енергоносії, інші поточні видатки)</t>
  </si>
  <si>
    <t>1.46  Поповнення статутного капіталу для придбання електронних табло</t>
  </si>
  <si>
    <t>1.47  Забезпечення надання послуг з пе-ревезення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</si>
  <si>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2022-2023</t>
  </si>
  <si>
    <t>1.48  Послуги з енергетичного менеджменту (енергоаудит)</t>
  </si>
  <si>
    <t>1.49  Придбання нових автобусів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</si>
  <si>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</si>
  <si>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</si>
  <si>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</si>
  <si>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</si>
  <si>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ма-теріалів для виконання поточного ремо-нту окремих ділянок трамвайних колій</t>
  </si>
  <si>
    <t>2.3. Поповнення статутного капіталу для придбання обладнання та предметів до-вгострокового використання</t>
  </si>
  <si>
    <t>КП «Швидкісний трамвай» – одержувач коштів</t>
  </si>
  <si>
    <t>2.4. Придбання контактного дроту, за-пасних частин та матеріалів для вико-нання поточного ремонту окремих діля-нок контактної мережі</t>
  </si>
  <si>
    <t xml:space="preserve">2.5. Поповнення статутного капіталу Комунального підприємства «Швид-кісний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</si>
  <si>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ко-шторисної документації)</t>
  </si>
  <si>
    <t>2.7. Поповнення статутного капіталу на виконання робочого проєкту «Капі-тальний ремонт акумуляторної уста-новки понижувальної підстанції станції швидкісного трамвая «Вечірній бульвар» Комунального підприємства «Швид-кісний трамвай» в Саксаганському районі м.Кривого Рогу», з коригуванням проєктно-кошторисної документації та проходженням експертизи</t>
  </si>
  <si>
    <t>2.8. Придбання пасажирських сидінь для встановлення в трамвайних вагонах</t>
  </si>
  <si>
    <t>2.9. Придбання   високовольтного   ка-белю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</si>
  <si>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</si>
  <si>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ко-лісних пар для трамвайних вагонів</t>
  </si>
  <si>
    <t>2.12. Придбання та встановлення при-ладів навігації GPS</t>
  </si>
  <si>
    <t>2.13.  Розробка робочого проєкту «За-ходи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</si>
  <si>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</si>
  <si>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вантажопідйом-ністю до 25 т</t>
  </si>
  <si>
    <t>2020-2023</t>
  </si>
  <si>
    <t>2.16. Придбання запасних частин та ма-теріалів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вул.Українській*</t>
  </si>
  <si>
    <t>2.17. Розробка робочого проєкту «Ка-пітальний ремонт станції швидкісного трамвая «Зарічна»  Комунального під-приємства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</si>
  <si>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ре-монт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</si>
  <si>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впровад-ження автоматизованої системи обліку оплати проїзду в комунальному тран-спорті (трамвай) та на станціях швидкісного трамвая</t>
  </si>
  <si>
    <t>2.20. Розробка   робочого проєкту      «Капітальний ремонт станції швидкісного трамвая «Майдан праці» (інв.№423) Комунального підприємства «Швидкісний трамвай» в  Саксаганському районі м.Кривого Рогу», з коригуванням проєктно-кошторисної документації  та проходженням експертизи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</si>
  <si>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</si>
  <si>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конта-ктної мережі</t>
  </si>
  <si>
    <t>2.23. Розробка  робочого  проєкту «Трамвайні колії  та благоустрій  на вул. Соборності в Метарлургійному районі                                                               м. Кривого  Рогу (реконструкція)»</t>
  </si>
  <si>
    <t>2.24. Придбання ліцензії на право ко-ристування комп'ютерною програмою для програмування транспортного тер-міналу (валідатора) з метою  впровад-ження автоматизованої системи обліку оплати проїзду в комунальному тран-спорті (трамвай) та на станціях швид-кісного трамвая</t>
  </si>
  <si>
    <t>2.25. Придбання запасних частин та ма-теріалів для виконання поточного ре-монту трамвайних вагонів</t>
  </si>
  <si>
    <t>2.26. Розробка робочого проєкту «Ре-конструкція трамвайних колій «пл. До-мнобудівників-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області»*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</si>
  <si>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</si>
  <si>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</si>
  <si>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</si>
  <si>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</si>
  <si>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швид-кісного трамвая «Зарічна»  Комуналь-ного підприємства «Швидкісний трам-вай» у Покровському районі м. Кривого Рогу</t>
  </si>
  <si>
    <t>2.30.Придбання запасних частин та матеріалів для виконання технічного обслуговування і поточного ремонту трамвайних вагонів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</si>
  <si>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</si>
  <si>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</si>
  <si>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</si>
  <si>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2.33. Розробка  робочого  проєкту на капітальний ремонт покрівлі головного корпуса  депо  №2   КП «Швидкісний трамвай»</t>
  </si>
  <si>
    <t>2.34. Розробка робочого проєкту на капітальний ремонт покрівлі цеху тех-нічних оглядів депо №1 КП «Швид-кісний трамвай»</t>
  </si>
  <si>
    <t>2.35. Розробка робочого проєкту на капітальний ремонт будівлі тягової під-станції № 57  КП «Швидкісний трамвай»</t>
  </si>
  <si>
    <t>2.36. Розробка робочого проєкту на ка-пітальний ремонт будівлі тягової під-станції № 59  КП «Швидкісний трамвай»</t>
  </si>
  <si>
    <t>2.37. Розробка  робочого  проєкту на капітальний  ремонт будівлі   тягової підстанції № 60   КП   «Швидкісний трамвай»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</si>
  <si>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</si>
  <si>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</si>
  <si>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</si>
  <si>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скла-ду депо №2 КП «Швидкісний трамвай»</t>
  </si>
  <si>
    <t xml:space="preserve">2.42. Капітальний ремонт станції шви-дкісного трамвая «Сонячна»  </t>
  </si>
  <si>
    <t xml:space="preserve"> 2.43. Капітальний ремонт покрівлі го-ловного корпусу депо №2 КП «Швид-кісний трамвай»</t>
  </si>
  <si>
    <t xml:space="preserve">2.44. Капітальний ремонт покрівлі цеху технічних оглядів депо №1 КП «Швид-кісний трамвай»
</t>
  </si>
  <si>
    <t xml:space="preserve">2.45. Капітальний ремонт покрівлі мий-ного корпусу депо №2 КП «Швидкісний трамвай»
</t>
  </si>
  <si>
    <t xml:space="preserve">2.46. Капітальний ремонт будівлі тягової підстанції № 57 КП «Швидкісний трамвай»
</t>
  </si>
  <si>
    <t xml:space="preserve">2.47. Капітальний ремонт будівлі тягової підстанції № 59 КП «Швидкісний трамвай»
</t>
  </si>
  <si>
    <t xml:space="preserve">2.48. Капітальний ремонт будівлі тягової підстанції № 60 КП «Швидкісний трамвай»
</t>
  </si>
  <si>
    <t xml:space="preserve">2.49. Капітальний ремонт станції швид-кісного трамвая «Майдан праці»
</t>
  </si>
  <si>
    <t xml:space="preserve">2.50. Капітальний ремонт станції швид-кісного трамвая «Мудрьона»
</t>
  </si>
  <si>
    <t>2.51. Капітальний ремонт правого туне-лю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</si>
  <si>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</si>
  <si>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2.53. Розробка робочого проєкту на капітальний ремонт будівлі тягової пі-дстанції №32 КП «Швидкісний трам-вай»</t>
  </si>
  <si>
    <t>2.54. Розробка робочого проєкту на капітальний ремонт будівлі тягової підстанції №2 КП «Швидкісний трамвай»</t>
  </si>
  <si>
    <t>2.55. Капітальний ремонт будівлі тяго-вої  підстанції  №32  КП «Швидкісний трамвай»</t>
  </si>
  <si>
    <t>2.56. Капітальний ремонт будівлі тяго-вої підстанції №2 КП «Швидкісний тра-мвай»</t>
  </si>
  <si>
    <t>2.58. Заміна пожежного водогону в тунелях швидкісного трамваю.</t>
  </si>
  <si>
    <t>поточка</t>
  </si>
  <si>
    <t>2.57. Розробка робочого проєкту на капітальний ремонт силових трансфо-рматорів тягових підстанцій №№25, 27, 32 КП «Швидкісний трамвай»</t>
  </si>
  <si>
    <t>2.58. Капітальний ремонт силових тра-нсформаторів тягових підстанцій №№1, 2, 17, 25, 26, 27, 32, 51, 52, 53, 54, 55, 56, 57, 58 КП «Швидкісний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</si>
  <si>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</si>
  <si>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підста-нцій КП «Швидкісний трамвай» (крем-нійових випрямлячів, масляних вимика-чів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</si>
  <si>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</si>
  <si>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</si>
  <si>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</si>
  <si>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</si>
  <si>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</si>
  <si>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</si>
  <si>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</si>
  <si>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</si>
  <si>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</si>
  <si>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</si>
  <si>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екскаватора-наван-тажувача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</si>
  <si>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</si>
  <si>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2.75. Придбання матеріалів, запас-них частин, автошин, обладнення та інструменту для  виконання тех-нічного обслуговування та поточ-ного ремонту автотракторної техніки</t>
  </si>
  <si>
    <t>2.76 Придбання будівельних та ізоляційних матеріалів</t>
  </si>
  <si>
    <t>2.77 Придбання спецодягу, спец-взуття та рукавиць</t>
  </si>
  <si>
    <t>2.78 Послуги з обов'язкового обслуговування підприємства "Швидкісний трамвай" державними аварійними службами</t>
  </si>
  <si>
    <t>2.79 Послуги електротехнічної лабороторії</t>
  </si>
  <si>
    <t>2.80. Послуги з навчання водіїв трамваю</t>
  </si>
  <si>
    <t>2.81. Послуги з поточного ремонту та відновлення вузлів та деталів трамвайних вагонів</t>
  </si>
  <si>
    <t>2.82 Послуги з обслуговування наземних видів транспорту (Організація впровадження АСООП в міському комунальному пасажирському транспорті м. Кривий Ріг(трамваї) із справлення плати за транспортні послуги з використанням обладнення  АСООП</t>
  </si>
  <si>
    <t>2.73. Капітальний ремонт акумуляторної установки понижувальної підстанції   станції   «Проспект   Металургів»                      КП «Швидкісний трамвай» у Металур-гійному районі м. Кривого Рогу</t>
  </si>
  <si>
    <t>2.74. Капітальний ремонт акумуляторної  установки понижувальної підстанції станції «Зарічна» КП «Швидкісний трамвай»  у   Покровському  районі                                                                                                                                 м. Кривого Рогу</t>
  </si>
  <si>
    <t>2.75. Поповнення статутного капіталу  КП «Швидкісний трамвай» для вико-нання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області»*</t>
  </si>
  <si>
    <t>2.76. Реалізація проєкту модернізації громадського трамвайного транспорту м. 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</si>
  <si>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електротранспо-ртом (у тому числі: на оплату праці з нарахуваннями на оплату праці, на енергоносії, інші поточні видатки)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</si>
  <si>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</si>
  <si>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2.79. Розробка робочого проєкту на ка-пітальний ремонт силових трансформа-торів   тягових   підстанцій   №№1,26                                                                                                                                Комунального підприємства «Швидкісний трамвай»</t>
  </si>
  <si>
    <t>2.80. Придбання комплекних трансфор-маторних підстанцій КТП-250/ 10/0,4 кВ та КТП-250/ 10/0,23 кВ</t>
  </si>
  <si>
    <t>2.81.  Придбання мінінавантажувача з навісним обладнанням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</si>
  <si>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</si>
  <si>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</si>
  <si>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</si>
  <si>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 Оплата  окремих супутніх послуг стороннім організаціям щодо виконання капітально-відновлювальних ремонтів трамвайних вагонів</t>
  </si>
  <si>
    <t>2.86.Послуги з проведення енергетичного обстеження  (аудиту)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</si>
  <si>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</si>
  <si>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комуналь-ного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</si>
  <si>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</si>
  <si>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</si>
  <si>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</si>
  <si>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</si>
  <si>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</si>
  <si>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</si>
  <si>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</si>
  <si>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</si>
  <si>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</si>
  <si>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мо-жливістю  інтеграції  із  системою АССОП</t>
  </si>
  <si>
    <t>3.8. Поповнення статутного капіталу на створення системи єдиного контакт-це-нтру</t>
  </si>
  <si>
    <t>3.9. Придбання транспортних терміналів (для оплати проїзду)</t>
  </si>
  <si>
    <t>3.10. Поповнення статутного капіталу на організацію та стволрення мережі місць зарядок для електромобілей</t>
  </si>
  <si>
    <t xml:space="preserve">Продовження додатка 2 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</si>
  <si>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</si>
  <si>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</si>
  <si>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r>
      <t>3.13. Надання фінансового забезпечення на заходи, пов</t>
    </r>
    <r>
      <rPr>
        <sz val="10.5"/>
        <rFont val="Calibri"/>
        <family val="2"/>
        <charset val="204"/>
      </rPr>
      <t>'</t>
    </r>
    <r>
      <rPr>
        <sz val="10.5"/>
        <rFont val="Times New Roman"/>
        <family val="1"/>
        <charset val="204"/>
      </rPr>
      <t>язані з функціонанням електронної "Карти криворіжця"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  </r>
  </si>
  <si>
    <t>Конкурс проєктів місцевого розвитку «Громадський бюджет»</t>
  </si>
  <si>
    <t xml:space="preserve">4.1. «Color City:  «Художній   роспис індустріального міста» (облаштування паркану  тролейбусного   депо  №2               Комунального підприємства «Міський тролейбус»)                                 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</si>
  <si>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</si>
  <si>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електротран-спорту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</si>
  <si>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</si>
  <si>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</si>
  <si>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</si>
  <si>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</si>
  <si>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5.1 Оптимізація міської маршрутної мережі пасажирського транспорту</t>
  </si>
  <si>
    <t>2017-2021</t>
  </si>
  <si>
    <t>5.2 Судові витрати та подання позовних заяв до суду</t>
  </si>
  <si>
    <t>Усього за Програмою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</si>
  <si>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вул. Гетьмана Івана Мазепи, вул. Модрівську на вул. Прорізну.</t>
  </si>
  <si>
    <t>Керуюча справами виконкому                                                          Олена ШОВГЕЛЯ</t>
  </si>
  <si>
    <r>
      <t xml:space="preserve">                                                                                      </t>
    </r>
    <r>
      <rPr>
        <i/>
        <sz val="16"/>
        <color indexed="8"/>
        <rFont val="Times New Roman"/>
        <family val="1"/>
        <charset val="204"/>
      </rPr>
      <t xml:space="preserve">Додаток </t>
    </r>
  </si>
  <si>
    <r>
      <t xml:space="preserve">                                                                                      </t>
    </r>
    <r>
      <rPr>
        <i/>
        <sz val="16"/>
        <color indexed="8"/>
        <rFont val="Times New Roman"/>
        <family val="1"/>
        <charset val="204"/>
      </rPr>
      <t>до рішення міської ради</t>
    </r>
  </si>
  <si>
    <t xml:space="preserve">                    23.02.2022 №1198</t>
  </si>
  <si>
    <t xml:space="preserve">1.2. Поповнення статутного капіталу Комунального підприємства «Міський тролейбус» для придбання й наладки комплекту обладнання (тягового пере-творювача з системою керування тя-говим двигуном постійного струму без рекуперації й дизель-генераторної установки) </t>
  </si>
  <si>
    <t xml:space="preserve">Продовження додатка  </t>
  </si>
  <si>
    <t xml:space="preserve">Продовження додатка </t>
  </si>
  <si>
    <t>2.16. Придбання запасних частин та ма-теріалів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</t>
  </si>
  <si>
    <t>2.20. Розробка   робочого проєкту      «Капітальний ремонт станції швидкісного трамвая «Майдан праці» (інв.№423) Комунального підп-риємства «Швидкісний трамвай» в  Са-ксаганському районі м.Кривого Рогу», з коригуванням проєктно-кошторисної документації  та проходженням експе-ртизи</t>
  </si>
  <si>
    <t>2.26. Розробка робочого проєкту «Ре-конструкція трамвайних колій «пл. До-мнобудівників-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</t>
  </si>
  <si>
    <t>2.66. Придбання  автовишки  типу            АТ-70М-041 або еквівалента  для виконання ремонтних робіт на контактній мережі</t>
  </si>
  <si>
    <t>2.75. Поповнення статутного капіталу  КП «Швидкісний трамвай» для вико-нання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</t>
  </si>
  <si>
    <t>Створення та розвиток Комунального  підприємства «Центр електронних платежів» Криворізької міської ради для підвищення якості надання послуг з перевезення пасажирів</t>
  </si>
  <si>
    <t>КП «Центр електронних платежів» Криворізької міської ради  – одержувач коштів</t>
  </si>
  <si>
    <t>4.3. «Кольори промислового міста» (розпис технічних споруд Комунального підприємства «Швид-кісний трамвай»)</t>
  </si>
  <si>
    <t>Керуюча справами виконкому                                                          Тетяна МАЛА</t>
  </si>
  <si>
    <t>3.14. Придбання права користування програмним забезпеченням для здійснення транспортного планування та моделювання PTV Visum (безстрокова ліцензія)</t>
  </si>
  <si>
    <t>Програма розвитку підприємств міського електро- та автотранспорту на 2016 – 2023 роки</t>
  </si>
  <si>
    <t xml:space="preserve">колісний екскаватор-навантажувач в комплекті з навісним обладнанням </t>
  </si>
  <si>
    <t>міні — екскаватор з навісним обладнанням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</si>
  <si>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станції, тощо)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</si>
  <si>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з системою керування тяговим двигуном постійного струму без рекуперації й дизель-генераторної установки); 
1.2.2 комплекту обладнання (мікропроцесорна / електронна система керування тяговим двигуном, дизель-генераторна установка, тощо) для забезпечення джерел резервного живлення або автономного руху на тролейбусах </t>
  </si>
  <si>
    <t xml:space="preserve">вантажний бортової автомобіль    
з краном маніпулятором
</t>
  </si>
  <si>
    <t>автомобіль-самоскид, вантажопідйомністю не менш 18 тн</t>
  </si>
  <si>
    <t>Управління транспорту та телекомунікацій виконкому Криворізької міської ради – головний розпорядник, КП «Швидкісний трамвай» – одержувач коштів</t>
  </si>
  <si>
    <t>2.88. Поповнення статутного капіталу на придбання спеціалізованої техніки - автокрану вантажопідйомністю 25 т</t>
  </si>
  <si>
    <t>2.89. Поповнення статутного капіталу на придбання спеціалізованої техніки - автомобіля-самоскида вантажопідйомністю 10 т</t>
  </si>
  <si>
    <t>2.90. Поповнення статутного капіталу на придбання джерел резервного живлення –  зарядних станцій</t>
  </si>
  <si>
    <t>3.13. Надання фінансового забезпечення на заходи, пов'язані з функціонуванням електронної "Карти криворіжця"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</si>
  <si>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Управління  транспорту та телекомунікацій виконкому Криворізької міської ради – головний розпорядник,                                                 КП «Центр електронних послуг» Криворізької міської ради  – одержувач коштів</t>
  </si>
  <si>
    <t xml:space="preserve">1.29. Придбання окремих запчастин, ма-теріалів для  ремонту автобусів </t>
  </si>
  <si>
    <t>було</t>
  </si>
  <si>
    <t>стало</t>
  </si>
  <si>
    <t>зміни</t>
  </si>
  <si>
    <t>2.87. Поповнення статутного капіталу на придбання Автоматичної телефонної станції (IP АТС)</t>
  </si>
  <si>
    <t>1.28. Поповнення статутного капіталу на придбання  автомобільної,  тракторної техніки, технологічного транспорту, навісного обладнання</t>
  </si>
  <si>
    <t>автомобіль-самоскид, вантажопідйомністю не менше 18 т</t>
  </si>
  <si>
    <t>міні-навантажувач у комплекті з навісним обладнанням</t>
  </si>
  <si>
    <t xml:space="preserve">колісний екскаватор-навантажувач у комплекті з навісним обладнанням </t>
  </si>
  <si>
    <t>міні-екскаватор з навісним обладнанням</t>
  </si>
  <si>
    <t>Управління транспорту та телекомунікацій виконкому Криворізької міської ради – головний розпорядник,          КП «Швидкісний трамвай» – одержувач коштів</t>
  </si>
  <si>
    <t>Орієнтовні обсяги потреби в фінансуванні (вартість), тис. гривень, у тому числі:</t>
  </si>
  <si>
    <t>колісний навантажувач з телескопічною стрілою «Bobcat T35.130SLP» у комплекті з навісним обладнанням</t>
  </si>
  <si>
    <t>машина аварійна для ремонту  контактних мереж «АТ-70М-041»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</si>
  <si>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 тощо)</t>
  </si>
  <si>
    <t>2.89. Поповнення статутного капіталу на придбання спеціалізованої техніки - автомобіля-самоскида вантажопідйом-ністю 10 т</t>
  </si>
  <si>
    <t>2.90. Поповнення статутного капіталу на придбання джерел резервного живлення - зарядних станцій</t>
  </si>
  <si>
    <t>3.13. Надання фінансового забезпечення на заходи, пов'язані з функціонуванням електронної «Карти криворіжця»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</si>
  <si>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12 шрифт</t>
  </si>
  <si>
    <t>14 шрифт</t>
  </si>
  <si>
    <t xml:space="preserve">      Додаток </t>
  </si>
  <si>
    <r>
      <t xml:space="preserve">               </t>
    </r>
    <r>
      <rPr>
        <i/>
        <sz val="19"/>
        <color indexed="8"/>
        <rFont val="Times New Roman"/>
        <family val="1"/>
        <charset val="204"/>
      </rPr>
      <t>до рішення виконкому міської ради</t>
    </r>
  </si>
  <si>
    <t xml:space="preserve">вантажний бортовий автомобіль    
з краном-маніпулятором
</t>
  </si>
  <si>
    <t xml:space="preserve">1.29. Придбання окремих запчастин,  матеріалів для поточного ремонту автобусів </t>
  </si>
  <si>
    <t xml:space="preserve">     23.08.2023 №1033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</si>
</sst>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indexed="8"/>
      <name val="Calibri"/>
      <family val="2"/>
      <charset val="204"/>
    </font>
    <font>
      <sz val="10.5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0.5"/>
      <name val="Calibri"/>
      <family val="2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9"/>
      <color theme="1"/>
      <name val="Times New Roman"/>
      <family val="1"/>
      <charset val="204"/>
    </font>
    <font>
      <i/>
      <sz val="19"/>
      <color indexed="8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64"/>
      </right>
      <top style="thin">
        <color indexed="5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59"/>
      </right>
      <top/>
      <bottom/>
      <diagonal/>
    </border>
    <border>
      <left/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9" fillId="2" borderId="5" xfId="0" applyFont="1" applyFill="1" applyBorder="1" applyAlignment="1">
      <alignment vertical="top" wrapText="1"/>
    </xf>
    <xf numFmtId="4" fontId="11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4" fontId="9" fillId="2" borderId="10" xfId="0" applyNumberFormat="1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top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4" fontId="9" fillId="2" borderId="14" xfId="0" applyNumberFormat="1" applyFont="1" applyFill="1" applyBorder="1" applyAlignment="1">
      <alignment vertical="top" wrapText="1"/>
    </xf>
    <xf numFmtId="0" fontId="10" fillId="2" borderId="17" xfId="0" applyFont="1" applyFill="1" applyBorder="1" applyAlignment="1">
      <alignment vertical="top" wrapText="1"/>
    </xf>
    <xf numFmtId="4" fontId="14" fillId="2" borderId="18" xfId="0" applyNumberFormat="1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vertical="top" wrapText="1"/>
    </xf>
    <xf numFmtId="0" fontId="9" fillId="2" borderId="19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0" fontId="9" fillId="2" borderId="14" xfId="0" applyNumberFormat="1" applyFont="1" applyFill="1" applyBorder="1" applyAlignment="1">
      <alignment horizontal="left" vertical="top" wrapText="1"/>
    </xf>
    <xf numFmtId="4" fontId="9" fillId="2" borderId="18" xfId="0" applyNumberFormat="1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4" fontId="9" fillId="2" borderId="22" xfId="0" applyNumberFormat="1" applyFont="1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top" wrapText="1"/>
    </xf>
    <xf numFmtId="0" fontId="9" fillId="2" borderId="14" xfId="0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top" wrapText="1"/>
    </xf>
    <xf numFmtId="0" fontId="9" fillId="2" borderId="26" xfId="0" applyFont="1" applyFill="1" applyBorder="1" applyAlignment="1">
      <alignment horizontal="center" vertical="center" wrapText="1"/>
    </xf>
    <xf numFmtId="4" fontId="15" fillId="2" borderId="16" xfId="0" applyNumberFormat="1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top" wrapText="1"/>
    </xf>
    <xf numFmtId="0" fontId="10" fillId="2" borderId="30" xfId="0" applyFont="1" applyFill="1" applyBorder="1" applyAlignment="1">
      <alignment vertical="top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4" fontId="9" fillId="2" borderId="24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vertical="top" wrapText="1"/>
    </xf>
    <xf numFmtId="0" fontId="9" fillId="2" borderId="16" xfId="0" applyFont="1" applyFill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top" wrapText="1"/>
    </xf>
    <xf numFmtId="4" fontId="8" fillId="2" borderId="10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9" fillId="2" borderId="37" xfId="0" applyFont="1" applyFill="1" applyBorder="1" applyAlignment="1">
      <alignment vertical="top" wrapText="1"/>
    </xf>
    <xf numFmtId="0" fontId="10" fillId="2" borderId="38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7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4" fontId="9" fillId="2" borderId="10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9" fillId="2" borderId="37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left" vertical="center" wrapText="1"/>
    </xf>
    <xf numFmtId="4" fontId="9" fillId="2" borderId="18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4" fontId="9" fillId="2" borderId="40" xfId="0" applyNumberFormat="1" applyFont="1" applyFill="1" applyBorder="1" applyAlignment="1">
      <alignment horizontal="left" vertical="top" wrapText="1"/>
    </xf>
    <xf numFmtId="0" fontId="9" fillId="2" borderId="4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0" fontId="9" fillId="2" borderId="2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40" xfId="0" applyFont="1" applyFill="1" applyBorder="1" applyAlignment="1">
      <alignment vertical="top" wrapText="1"/>
    </xf>
    <xf numFmtId="0" fontId="14" fillId="2" borderId="42" xfId="0" applyFont="1" applyFill="1" applyBorder="1" applyAlignment="1">
      <alignment vertical="top" wrapText="1"/>
    </xf>
    <xf numFmtId="0" fontId="9" fillId="2" borderId="43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left" vertical="top" wrapText="1"/>
    </xf>
    <xf numFmtId="0" fontId="1" fillId="2" borderId="44" xfId="0" applyFont="1" applyFill="1" applyBorder="1" applyAlignment="1">
      <alignment vertical="top" wrapText="1"/>
    </xf>
    <xf numFmtId="0" fontId="9" fillId="2" borderId="22" xfId="0" applyFont="1" applyFill="1" applyBorder="1" applyAlignment="1">
      <alignment vertical="top" wrapText="1"/>
    </xf>
    <xf numFmtId="0" fontId="14" fillId="2" borderId="22" xfId="0" applyFont="1" applyFill="1" applyBorder="1" applyAlignment="1">
      <alignment vertical="top" wrapText="1"/>
    </xf>
    <xf numFmtId="0" fontId="9" fillId="2" borderId="4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 wrapText="1"/>
    </xf>
    <xf numFmtId="16" fontId="9" fillId="2" borderId="32" xfId="0" applyNumberFormat="1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center" vertical="top" wrapText="1"/>
    </xf>
    <xf numFmtId="16" fontId="9" fillId="2" borderId="40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vertical="top" wrapText="1"/>
    </xf>
    <xf numFmtId="0" fontId="9" fillId="2" borderId="49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wrapText="1"/>
    </xf>
    <xf numFmtId="0" fontId="9" fillId="2" borderId="5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 vertical="top" wrapText="1"/>
    </xf>
    <xf numFmtId="0" fontId="9" fillId="2" borderId="4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left" vertical="top" wrapText="1"/>
    </xf>
    <xf numFmtId="4" fontId="9" fillId="2" borderId="14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1" fillId="2" borderId="16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7" xfId="0" applyFont="1" applyFill="1" applyBorder="1" applyAlignment="1">
      <alignment wrapText="1"/>
    </xf>
    <xf numFmtId="0" fontId="9" fillId="2" borderId="10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vertical="top" wrapText="1"/>
    </xf>
    <xf numFmtId="0" fontId="19" fillId="2" borderId="47" xfId="0" applyFont="1" applyFill="1" applyBorder="1" applyAlignment="1">
      <alignment vertical="top" wrapText="1"/>
    </xf>
    <xf numFmtId="0" fontId="19" fillId="2" borderId="32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top" wrapText="1"/>
    </xf>
    <xf numFmtId="0" fontId="19" fillId="2" borderId="52" xfId="0" applyFont="1" applyFill="1" applyBorder="1" applyAlignment="1">
      <alignment vertical="top" wrapText="1"/>
    </xf>
    <xf numFmtId="0" fontId="9" fillId="2" borderId="52" xfId="0" applyFont="1" applyFill="1" applyBorder="1" applyAlignment="1">
      <alignment horizontal="center" vertical="center" wrapText="1"/>
    </xf>
    <xf numFmtId="4" fontId="10" fillId="2" borderId="52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0" fillId="2" borderId="0" xfId="0" applyFont="1" applyFill="1"/>
    <xf numFmtId="4" fontId="9" fillId="2" borderId="24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0" fontId="0" fillId="0" borderId="0" xfId="0" applyFont="1"/>
    <xf numFmtId="4" fontId="9" fillId="2" borderId="22" xfId="0" applyNumberFormat="1" applyFont="1" applyFill="1" applyBorder="1" applyAlignment="1">
      <alignment horizontal="center" vertical="center" wrapText="1"/>
    </xf>
    <xf numFmtId="4" fontId="9" fillId="2" borderId="22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4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/>
    </xf>
    <xf numFmtId="4" fontId="14" fillId="2" borderId="22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left" vertical="top" wrapText="1"/>
    </xf>
    <xf numFmtId="4" fontId="14" fillId="2" borderId="40" xfId="0" applyNumberFormat="1" applyFont="1" applyFill="1" applyBorder="1" applyAlignment="1">
      <alignment horizontal="left" vertical="top" wrapText="1"/>
    </xf>
    <xf numFmtId="4" fontId="14" fillId="2" borderId="42" xfId="0" applyNumberFormat="1" applyFont="1" applyFill="1" applyBorder="1" applyAlignment="1">
      <alignment horizontal="left" vertical="top" wrapText="1"/>
    </xf>
    <xf numFmtId="4" fontId="9" fillId="2" borderId="42" xfId="0" applyNumberFormat="1" applyFont="1" applyFill="1" applyBorder="1" applyAlignment="1">
      <alignment horizontal="left" vertical="top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4" fontId="9" fillId="2" borderId="21" xfId="0" applyNumberFormat="1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center" vertical="center" wrapText="1"/>
    </xf>
    <xf numFmtId="4" fontId="9" fillId="2" borderId="40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top" wrapText="1"/>
    </xf>
    <xf numFmtId="4" fontId="1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4" fontId="14" fillId="3" borderId="22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/>
    </xf>
    <xf numFmtId="4" fontId="9" fillId="3" borderId="22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2" borderId="42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center" vertical="center" wrapText="1"/>
    </xf>
    <xf numFmtId="4" fontId="14" fillId="2" borderId="40" xfId="0" applyNumberFormat="1" applyFont="1" applyFill="1" applyBorder="1" applyAlignment="1">
      <alignment horizontal="center" vertical="center" wrapText="1"/>
    </xf>
    <xf numFmtId="4" fontId="14" fillId="2" borderId="42" xfId="0" applyNumberFormat="1" applyFont="1" applyFill="1" applyBorder="1" applyAlignment="1">
      <alignment horizontal="center" vertical="center" wrapText="1"/>
    </xf>
    <xf numFmtId="4" fontId="14" fillId="2" borderId="22" xfId="0" applyNumberFormat="1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center" vertical="top" wrapText="1"/>
    </xf>
    <xf numFmtId="0" fontId="14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top" wrapText="1"/>
    </xf>
    <xf numFmtId="0" fontId="14" fillId="2" borderId="22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4" fontId="9" fillId="2" borderId="17" xfId="0" applyNumberFormat="1" applyFont="1" applyFill="1" applyBorder="1" applyAlignment="1">
      <alignment horizontal="left" vertical="top" wrapText="1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/>
    <xf numFmtId="0" fontId="25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9" fillId="2" borderId="21" xfId="0" applyFont="1" applyFill="1" applyBorder="1" applyAlignment="1">
      <alignment vertical="top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center" wrapText="1"/>
    </xf>
    <xf numFmtId="0" fontId="19" fillId="2" borderId="47" xfId="0" applyFont="1" applyFill="1" applyBorder="1" applyAlignment="1">
      <alignment vertical="center" wrapText="1"/>
    </xf>
    <xf numFmtId="0" fontId="19" fillId="2" borderId="32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10" fillId="2" borderId="3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top" wrapText="1"/>
    </xf>
    <xf numFmtId="0" fontId="13" fillId="2" borderId="47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Fill="1" applyBorder="1" applyAlignment="1">
      <alignment horizontal="left" wrapText="1"/>
    </xf>
    <xf numFmtId="0" fontId="29" fillId="2" borderId="22" xfId="0" applyFont="1" applyFill="1" applyBorder="1" applyAlignment="1">
      <alignment horizontal="center" vertical="top" wrapText="1"/>
    </xf>
    <xf numFmtId="0" fontId="14" fillId="2" borderId="22" xfId="0" applyFont="1" applyFill="1" applyBorder="1" applyAlignment="1">
      <alignment horizontal="center" vertical="top" wrapText="1"/>
    </xf>
    <xf numFmtId="0" fontId="29" fillId="2" borderId="17" xfId="0" applyFont="1" applyFill="1" applyBorder="1" applyAlignment="1">
      <alignment horizontal="center" vertical="top" wrapText="1"/>
    </xf>
    <xf numFmtId="0" fontId="29" fillId="2" borderId="21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22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right" vertical="center" wrapText="1"/>
    </xf>
    <xf numFmtId="0" fontId="9" fillId="2" borderId="22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 wrapText="1"/>
    </xf>
    <xf numFmtId="0" fontId="28" fillId="2" borderId="0" xfId="0" applyFont="1" applyFill="1" applyBorder="1" applyAlignment="1">
      <alignment horizontal="center" wrapText="1"/>
    </xf>
    <xf numFmtId="0" fontId="27" fillId="2" borderId="41" xfId="0" applyFont="1" applyFill="1" applyBorder="1" applyAlignment="1">
      <alignment horizontal="center" vertical="top" wrapText="1"/>
    </xf>
    <xf numFmtId="0" fontId="27" fillId="2" borderId="52" xfId="0" applyFont="1" applyFill="1" applyBorder="1" applyAlignment="1">
      <alignment horizontal="center" vertical="top" wrapText="1"/>
    </xf>
    <xf numFmtId="0" fontId="27" fillId="2" borderId="40" xfId="0" applyFont="1" applyFill="1" applyBorder="1" applyAlignment="1">
      <alignment horizontal="center" vertical="top" wrapText="1"/>
    </xf>
    <xf numFmtId="0" fontId="27" fillId="2" borderId="33" xfId="0" applyFont="1" applyFill="1" applyBorder="1" applyAlignment="1">
      <alignment horizontal="center" vertical="top" wrapText="1"/>
    </xf>
    <xf numFmtId="0" fontId="27" fillId="2" borderId="47" xfId="0" applyFont="1" applyFill="1" applyBorder="1" applyAlignment="1">
      <alignment horizontal="center" vertical="top" wrapText="1"/>
    </xf>
    <xf numFmtId="0" fontId="27" fillId="2" borderId="32" xfId="0" applyFont="1" applyFill="1" applyBorder="1" applyAlignment="1">
      <alignment horizontal="center" vertical="top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right" vertical="center" wrapText="1"/>
    </xf>
    <xf numFmtId="0" fontId="13" fillId="2" borderId="53" xfId="0" applyFont="1" applyFill="1" applyBorder="1" applyAlignment="1">
      <alignment horizontal="right" vertical="center" wrapText="1"/>
    </xf>
    <xf numFmtId="0" fontId="13" fillId="2" borderId="42" xfId="0" applyFont="1" applyFill="1" applyBorder="1" applyAlignment="1">
      <alignment horizontal="right" vertical="center" wrapText="1"/>
    </xf>
    <xf numFmtId="0" fontId="24" fillId="2" borderId="21" xfId="0" applyFont="1" applyFill="1" applyBorder="1" applyAlignment="1">
      <alignment horizontal="center" vertical="top" wrapText="1"/>
    </xf>
    <xf numFmtId="0" fontId="24" fillId="2" borderId="16" xfId="0" applyFont="1" applyFill="1" applyBorder="1" applyAlignment="1">
      <alignment horizontal="center" vertical="top" wrapText="1"/>
    </xf>
    <xf numFmtId="0" fontId="24" fillId="2" borderId="17" xfId="0" applyFont="1" applyFill="1" applyBorder="1" applyAlignment="1">
      <alignment horizontal="center" vertical="top" wrapText="1"/>
    </xf>
    <xf numFmtId="0" fontId="14" fillId="2" borderId="21" xfId="0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top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80;_&#1051;&#1077;&#1092;&#1090;&#1086;&#1088;/&#1052;&#1086;&#1080;%20&#1076;&#1086;&#1082;&#1091;&#1084;&#1077;&#1085;&#1090;&#1080;/&#1042;&#1080;&#1082;&#1086;&#1085;&#1082;&#1086;&#1084;_&#1089;&#1077;&#1089;&#1110;&#1103;(&#1088;&#1077;&#1096;&#1077;&#1085;&#1080;&#1103;)/&#1047;&#1084;&#1110;&#1085;&#1080;_&#1088;&#1077;&#1096;&#1077;&#1085;&#1080;&#1077;66_&#1089;&#1110;&#1095;&#1077;&#1085;&#1100;23/&#1079;&#1084;&#1110;&#1085;&#1080;%20&#1088;&#1110;&#1096;&#1077;&#1085;&#1085;&#1103;%2066%20&#1089;&#1077;&#1089;&#1110;&#1103;/&#1047;&#1084;&#1110;&#1085;&#1080;%20&#1076;&#1086;%20&#1088;&#1110;&#1096;&#1077;&#1085;&#1085;&#1103;%20&#8470;66_01/&#1044;&#1086;&#1076;&#1072;&#1090;&#1086;&#1082;2_&#1089;&#1077;&#1089;&#1110;&#1103;31012023_&#1088;&#1086;&#1073;&#1086;&#1095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сесія_1901_решение"/>
      <sheetName val="додаток сесія_1901_2023 (2)"/>
      <sheetName val="додаток сесія_01_2023 _решение"/>
      <sheetName val="додаток сесія_1801_2023"/>
      <sheetName val="ЗМІНИ 30.11_110123"/>
      <sheetName val="станом на 23.02.22"/>
      <sheetName val="станом на 23.02.22_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O12">
            <v>727843.98</v>
          </cell>
        </row>
        <row r="15">
          <cell r="O15">
            <v>48422.2</v>
          </cell>
        </row>
        <row r="16">
          <cell r="O16">
            <v>97257.7</v>
          </cell>
        </row>
        <row r="17">
          <cell r="O17">
            <v>100</v>
          </cell>
        </row>
        <row r="18">
          <cell r="O18">
            <v>290</v>
          </cell>
        </row>
        <row r="19">
          <cell r="O19">
            <v>60</v>
          </cell>
        </row>
        <row r="20">
          <cell r="O20">
            <v>100</v>
          </cell>
        </row>
        <row r="21">
          <cell r="O21">
            <v>60335</v>
          </cell>
        </row>
        <row r="22">
          <cell r="O22">
            <v>200</v>
          </cell>
        </row>
        <row r="25">
          <cell r="O25">
            <v>15</v>
          </cell>
        </row>
        <row r="26">
          <cell r="O26">
            <v>60</v>
          </cell>
        </row>
        <row r="27">
          <cell r="O27">
            <v>150</v>
          </cell>
        </row>
        <row r="28">
          <cell r="O28">
            <v>150</v>
          </cell>
        </row>
        <row r="29">
          <cell r="O29">
            <v>78211.5</v>
          </cell>
        </row>
        <row r="30">
          <cell r="O30">
            <v>16247.7</v>
          </cell>
        </row>
        <row r="31">
          <cell r="O31">
            <v>32790.800000000003</v>
          </cell>
        </row>
        <row r="32">
          <cell r="O32">
            <v>16596.400000000001</v>
          </cell>
        </row>
        <row r="33">
          <cell r="O33">
            <v>37300</v>
          </cell>
        </row>
        <row r="34">
          <cell r="O34">
            <v>33029.9</v>
          </cell>
        </row>
        <row r="37">
          <cell r="O37">
            <v>15</v>
          </cell>
        </row>
        <row r="38">
          <cell r="O38">
            <v>26000</v>
          </cell>
        </row>
        <row r="39">
          <cell r="O39">
            <v>3986.4</v>
          </cell>
        </row>
        <row r="40">
          <cell r="O40">
            <v>10000</v>
          </cell>
        </row>
        <row r="41">
          <cell r="O41">
            <v>12000</v>
          </cell>
        </row>
        <row r="42">
          <cell r="O42">
            <v>26000</v>
          </cell>
        </row>
        <row r="45">
          <cell r="O45">
            <v>15</v>
          </cell>
        </row>
        <row r="46">
          <cell r="O46">
            <v>14170</v>
          </cell>
        </row>
        <row r="47">
          <cell r="O47">
            <v>253100</v>
          </cell>
        </row>
        <row r="48">
          <cell r="O48">
            <v>103100</v>
          </cell>
        </row>
        <row r="49">
          <cell r="O49">
            <v>150523.46</v>
          </cell>
        </row>
        <row r="50">
          <cell r="O50">
            <v>6897.8</v>
          </cell>
        </row>
        <row r="51">
          <cell r="O51">
            <v>35535</v>
          </cell>
        </row>
        <row r="53">
          <cell r="O53">
            <v>3700</v>
          </cell>
        </row>
        <row r="54">
          <cell r="O54">
            <v>12750</v>
          </cell>
        </row>
        <row r="55">
          <cell r="O55">
            <v>13175</v>
          </cell>
        </row>
        <row r="56">
          <cell r="O56">
            <v>1935</v>
          </cell>
        </row>
        <row r="57">
          <cell r="O57">
            <v>650</v>
          </cell>
        </row>
        <row r="58">
          <cell r="O58">
            <v>2875</v>
          </cell>
        </row>
        <row r="59">
          <cell r="O59">
            <v>450</v>
          </cell>
        </row>
        <row r="60">
          <cell r="O60">
            <v>30510.2</v>
          </cell>
        </row>
        <row r="63">
          <cell r="O63">
            <v>15</v>
          </cell>
        </row>
        <row r="64">
          <cell r="O64">
            <v>46362.3</v>
          </cell>
        </row>
        <row r="65">
          <cell r="O65">
            <v>10800</v>
          </cell>
        </row>
        <row r="66">
          <cell r="O66">
            <v>23170</v>
          </cell>
        </row>
        <row r="67">
          <cell r="O67">
            <v>20335.7</v>
          </cell>
        </row>
        <row r="68">
          <cell r="O68">
            <v>12500</v>
          </cell>
        </row>
        <row r="69">
          <cell r="O69">
            <v>7950</v>
          </cell>
        </row>
        <row r="70">
          <cell r="O70">
            <v>12750</v>
          </cell>
        </row>
        <row r="71">
          <cell r="O71">
            <v>19000</v>
          </cell>
        </row>
        <row r="72">
          <cell r="O72">
            <v>4000</v>
          </cell>
        </row>
        <row r="75">
          <cell r="O75">
            <v>15</v>
          </cell>
        </row>
        <row r="76">
          <cell r="O76">
            <v>4000</v>
          </cell>
        </row>
        <row r="77">
          <cell r="O77">
            <v>4000</v>
          </cell>
        </row>
        <row r="78">
          <cell r="O78">
            <v>4000</v>
          </cell>
        </row>
        <row r="79">
          <cell r="O79">
            <v>6500</v>
          </cell>
        </row>
        <row r="80">
          <cell r="O80">
            <v>7900</v>
          </cell>
        </row>
        <row r="81">
          <cell r="O81">
            <v>153168</v>
          </cell>
        </row>
        <row r="82">
          <cell r="O82">
            <v>0</v>
          </cell>
        </row>
        <row r="83">
          <cell r="O83">
            <v>1115124.5</v>
          </cell>
        </row>
        <row r="84">
          <cell r="O84">
            <v>2250</v>
          </cell>
        </row>
        <row r="85">
          <cell r="O85">
            <v>213316</v>
          </cell>
        </row>
        <row r="86">
          <cell r="O86">
            <v>1000</v>
          </cell>
        </row>
        <row r="87">
          <cell r="O87">
            <v>3385994.54</v>
          </cell>
        </row>
      </sheetData>
      <sheetData sheetId="5" refreshError="1">
        <row r="12">
          <cell r="O12">
            <v>727843.98</v>
          </cell>
        </row>
        <row r="15">
          <cell r="O15">
            <v>43222.2</v>
          </cell>
        </row>
        <row r="16">
          <cell r="O16">
            <v>102457.7</v>
          </cell>
        </row>
        <row r="17">
          <cell r="O17">
            <v>100</v>
          </cell>
        </row>
        <row r="18">
          <cell r="O18">
            <v>290</v>
          </cell>
        </row>
        <row r="19">
          <cell r="O19">
            <v>60</v>
          </cell>
        </row>
        <row r="20">
          <cell r="O20">
            <v>100</v>
          </cell>
        </row>
        <row r="21">
          <cell r="O21">
            <v>60335</v>
          </cell>
        </row>
        <row r="22">
          <cell r="O22">
            <v>200</v>
          </cell>
        </row>
        <row r="25">
          <cell r="O25">
            <v>15</v>
          </cell>
        </row>
        <row r="26">
          <cell r="O26">
            <v>60</v>
          </cell>
        </row>
        <row r="27">
          <cell r="O27">
            <v>150</v>
          </cell>
        </row>
        <row r="28">
          <cell r="O28">
            <v>150</v>
          </cell>
        </row>
        <row r="29">
          <cell r="O29">
            <v>78211.5</v>
          </cell>
        </row>
        <row r="30">
          <cell r="O30">
            <v>16247.7</v>
          </cell>
        </row>
        <row r="31">
          <cell r="O31">
            <v>32790.800000000003</v>
          </cell>
        </row>
        <row r="32">
          <cell r="O32">
            <v>13745.9</v>
          </cell>
        </row>
        <row r="33">
          <cell r="O33">
            <v>37300</v>
          </cell>
        </row>
        <row r="34">
          <cell r="O34">
            <v>33029.9</v>
          </cell>
        </row>
        <row r="37">
          <cell r="O37">
            <v>15</v>
          </cell>
        </row>
        <row r="38">
          <cell r="O38">
            <v>26000</v>
          </cell>
        </row>
        <row r="39">
          <cell r="O39">
            <v>3986.4</v>
          </cell>
        </row>
        <row r="40">
          <cell r="O40">
            <v>10000</v>
          </cell>
        </row>
        <row r="41">
          <cell r="O41">
            <v>12000</v>
          </cell>
        </row>
        <row r="42">
          <cell r="O42">
            <v>26000</v>
          </cell>
        </row>
        <row r="45">
          <cell r="O45">
            <v>15</v>
          </cell>
        </row>
        <row r="46">
          <cell r="O46">
            <v>16170</v>
          </cell>
        </row>
        <row r="47">
          <cell r="O47">
            <v>253100</v>
          </cell>
        </row>
        <row r="48">
          <cell r="O48">
            <v>150523.46</v>
          </cell>
        </row>
        <row r="49">
          <cell r="O49">
            <v>6897.8</v>
          </cell>
        </row>
        <row r="50">
          <cell r="O50">
            <v>35535</v>
          </cell>
        </row>
        <row r="52">
          <cell r="O52">
            <v>3700</v>
          </cell>
        </row>
        <row r="53">
          <cell r="O53">
            <v>12750</v>
          </cell>
        </row>
        <row r="54">
          <cell r="O54">
            <v>13175</v>
          </cell>
        </row>
        <row r="55">
          <cell r="O55">
            <v>1935</v>
          </cell>
        </row>
        <row r="56">
          <cell r="O56">
            <v>650</v>
          </cell>
        </row>
        <row r="57">
          <cell r="O57">
            <v>2875</v>
          </cell>
        </row>
        <row r="58">
          <cell r="O58">
            <v>450</v>
          </cell>
        </row>
        <row r="59">
          <cell r="O59">
            <v>16360.9</v>
          </cell>
        </row>
        <row r="62">
          <cell r="O62">
            <v>15</v>
          </cell>
        </row>
        <row r="63">
          <cell r="O63">
            <v>58511.6</v>
          </cell>
        </row>
        <row r="64">
          <cell r="O64">
            <v>10800</v>
          </cell>
        </row>
        <row r="65">
          <cell r="O65">
            <v>23170</v>
          </cell>
        </row>
        <row r="66">
          <cell r="O66">
            <v>20335.7</v>
          </cell>
        </row>
        <row r="67">
          <cell r="O67">
            <v>12500</v>
          </cell>
        </row>
        <row r="68">
          <cell r="O68">
            <v>7950</v>
          </cell>
        </row>
        <row r="69">
          <cell r="O69">
            <v>12750</v>
          </cell>
        </row>
        <row r="70">
          <cell r="O70">
            <v>19000</v>
          </cell>
        </row>
        <row r="71">
          <cell r="O71">
            <v>4000</v>
          </cell>
        </row>
        <row r="74">
          <cell r="O74">
            <v>15</v>
          </cell>
        </row>
        <row r="75">
          <cell r="O75">
            <v>4000</v>
          </cell>
        </row>
        <row r="76">
          <cell r="O76">
            <v>4000</v>
          </cell>
        </row>
        <row r="77">
          <cell r="O77">
            <v>7000</v>
          </cell>
        </row>
        <row r="78">
          <cell r="O78">
            <v>6500</v>
          </cell>
        </row>
        <row r="79">
          <cell r="O79">
            <v>7900</v>
          </cell>
        </row>
        <row r="80">
          <cell r="O80">
            <v>153168</v>
          </cell>
        </row>
        <row r="81">
          <cell r="O81">
            <v>0</v>
          </cell>
        </row>
        <row r="82">
          <cell r="O82">
            <v>1115124.5</v>
          </cell>
        </row>
        <row r="83">
          <cell r="O83">
            <v>2250</v>
          </cell>
        </row>
        <row r="84">
          <cell r="O84">
            <v>213166.5</v>
          </cell>
        </row>
        <row r="85">
          <cell r="O85">
            <v>1000</v>
          </cell>
        </row>
        <row r="87">
          <cell r="O87">
            <v>3385994.5399999996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view="pageBreakPreview" topLeftCell="A53" zoomScale="85" zoomScaleNormal="100" zoomScaleSheetLayoutView="85" workbookViewId="0">
      <selection activeCell="C59" sqref="C59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" width="11.28515625" style="1" bestFit="1" customWidth="1"/>
    <col min="17" max="17" width="14.140625" style="1" customWidth="1"/>
    <col min="18" max="18" width="11" style="1" customWidth="1"/>
    <col min="19" max="19" width="12.140625" style="1" customWidth="1"/>
    <col min="20" max="20" width="12" style="1" customWidth="1"/>
    <col min="21" max="16384" width="9.140625" style="1"/>
  </cols>
  <sheetData>
    <row r="1" spans="1:19" ht="21.75" customHeight="1" x14ac:dyDescent="0.3">
      <c r="K1" s="2"/>
    </row>
    <row r="2" spans="1:19" ht="21.75" customHeight="1" x14ac:dyDescent="0.2">
      <c r="A2" s="3"/>
      <c r="B2" s="3"/>
      <c r="C2" s="3"/>
      <c r="D2" s="3"/>
      <c r="E2" s="3"/>
      <c r="F2" s="3"/>
      <c r="G2" s="3"/>
      <c r="H2" s="3"/>
      <c r="I2" s="4"/>
      <c r="J2" s="235" t="s">
        <v>0</v>
      </c>
      <c r="K2" s="235"/>
      <c r="L2" s="235"/>
      <c r="M2" s="235"/>
      <c r="N2" s="235"/>
      <c r="O2" s="235"/>
    </row>
    <row r="3" spans="1:19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236" t="s">
        <v>1</v>
      </c>
      <c r="K3" s="236"/>
      <c r="L3" s="236"/>
      <c r="M3" s="236"/>
      <c r="N3" s="236"/>
      <c r="O3" s="236"/>
    </row>
    <row r="4" spans="1:19" ht="15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5"/>
      <c r="K4" s="5"/>
      <c r="L4" s="5"/>
      <c r="M4" s="237"/>
      <c r="N4" s="238"/>
      <c r="O4" s="238"/>
      <c r="P4" s="238"/>
      <c r="Q4" s="238"/>
      <c r="R4" s="238"/>
      <c r="S4" s="238"/>
    </row>
    <row r="5" spans="1:19" ht="21.75" customHeight="1" x14ac:dyDescent="0.35">
      <c r="A5" s="239" t="s">
        <v>2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</row>
    <row r="7" spans="1:19" ht="12.75" customHeight="1" x14ac:dyDescent="0.2">
      <c r="A7" s="240" t="s">
        <v>3</v>
      </c>
      <c r="B7" s="240" t="s">
        <v>4</v>
      </c>
      <c r="C7" s="240" t="s">
        <v>5</v>
      </c>
      <c r="D7" s="240" t="s">
        <v>6</v>
      </c>
      <c r="E7" s="240" t="s">
        <v>7</v>
      </c>
      <c r="F7" s="240" t="s">
        <v>8</v>
      </c>
      <c r="G7" s="240" t="s">
        <v>9</v>
      </c>
      <c r="H7" s="240"/>
      <c r="I7" s="240"/>
      <c r="J7" s="240"/>
      <c r="K7" s="240"/>
      <c r="L7" s="240"/>
      <c r="M7" s="240"/>
      <c r="N7" s="240"/>
      <c r="O7" s="240"/>
    </row>
    <row r="8" spans="1:19" x14ac:dyDescent="0.2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</row>
    <row r="9" spans="1:19" ht="12.75" customHeight="1" x14ac:dyDescent="0.2">
      <c r="A9" s="240"/>
      <c r="B9" s="240"/>
      <c r="C9" s="240"/>
      <c r="D9" s="240"/>
      <c r="E9" s="240"/>
      <c r="F9" s="240"/>
      <c r="G9" s="240">
        <v>2016</v>
      </c>
      <c r="H9" s="240">
        <v>2017</v>
      </c>
      <c r="I9" s="240">
        <v>2018</v>
      </c>
      <c r="J9" s="240">
        <v>2019</v>
      </c>
      <c r="K9" s="240">
        <v>2020</v>
      </c>
      <c r="L9" s="240">
        <v>2021</v>
      </c>
      <c r="M9" s="240">
        <v>2022</v>
      </c>
      <c r="N9" s="240">
        <v>2023</v>
      </c>
      <c r="O9" s="240" t="s">
        <v>10</v>
      </c>
    </row>
    <row r="10" spans="1:19" ht="11.25" customHeight="1" x14ac:dyDescent="0.2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</row>
    <row r="11" spans="1:19" ht="15.75" customHeigh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</row>
    <row r="12" spans="1:19" ht="83.25" customHeight="1" x14ac:dyDescent="0.2">
      <c r="A12" s="8">
        <v>1</v>
      </c>
      <c r="B12" s="242" t="s">
        <v>11</v>
      </c>
      <c r="C12" s="9" t="s">
        <v>12</v>
      </c>
      <c r="D12" s="10" t="s">
        <v>13</v>
      </c>
      <c r="E12" s="244" t="s">
        <v>14</v>
      </c>
      <c r="F12" s="10" t="s">
        <v>15</v>
      </c>
      <c r="G12" s="11">
        <v>73702.679999999993</v>
      </c>
      <c r="H12" s="11">
        <f>94537.8+830</f>
        <v>95367.8</v>
      </c>
      <c r="I12" s="11">
        <v>114042.5</v>
      </c>
      <c r="J12" s="11">
        <v>143546.20000000001</v>
      </c>
      <c r="K12" s="11">
        <v>227890.4</v>
      </c>
      <c r="L12" s="11">
        <f>59251.7+11539-1500+103.7+3900</f>
        <v>73294.399999999994</v>
      </c>
      <c r="M12" s="11">
        <v>0</v>
      </c>
      <c r="N12" s="11">
        <v>0</v>
      </c>
      <c r="O12" s="11">
        <f>SUM(G12:N12)</f>
        <v>727843.98</v>
      </c>
      <c r="R12" s="12">
        <f>O12-'[1]станом на 23.02.22'!O12</f>
        <v>0</v>
      </c>
      <c r="S12" s="12">
        <f>O12-'[1]ЗМІНИ 30.11_110123'!O12</f>
        <v>0</v>
      </c>
    </row>
    <row r="13" spans="1:19" ht="34.5" hidden="1" customHeight="1" x14ac:dyDescent="0.2">
      <c r="A13" s="13"/>
      <c r="B13" s="243"/>
      <c r="C13" s="9"/>
      <c r="D13" s="10"/>
      <c r="E13" s="245"/>
      <c r="F13" s="10"/>
      <c r="G13" s="11"/>
      <c r="H13" s="11"/>
      <c r="I13" s="11"/>
      <c r="J13" s="11"/>
      <c r="K13" s="11"/>
      <c r="L13" s="11"/>
      <c r="M13" s="11"/>
      <c r="N13" s="11"/>
      <c r="O13" s="11"/>
    </row>
    <row r="14" spans="1:19" ht="34.5" hidden="1" customHeight="1" x14ac:dyDescent="0.2">
      <c r="A14" s="13"/>
      <c r="B14" s="243"/>
      <c r="C14" s="9"/>
      <c r="D14" s="10"/>
      <c r="E14" s="245"/>
      <c r="F14" s="10"/>
      <c r="G14" s="11"/>
      <c r="H14" s="11"/>
      <c r="I14" s="11"/>
      <c r="J14" s="11"/>
      <c r="K14" s="11"/>
      <c r="L14" s="11"/>
      <c r="M14" s="11"/>
      <c r="N14" s="11"/>
      <c r="O14" s="11"/>
    </row>
    <row r="15" spans="1:19" ht="195" customHeight="1" x14ac:dyDescent="0.2">
      <c r="A15" s="13"/>
      <c r="B15" s="243"/>
      <c r="C15" s="14" t="s">
        <v>16</v>
      </c>
      <c r="D15" s="15" t="s">
        <v>17</v>
      </c>
      <c r="E15" s="245"/>
      <c r="F15" s="10" t="s">
        <v>15</v>
      </c>
      <c r="G15" s="11">
        <v>9960</v>
      </c>
      <c r="H15" s="11">
        <v>9960</v>
      </c>
      <c r="I15" s="11">
        <v>400</v>
      </c>
      <c r="J15" s="11">
        <v>2102.1999999999998</v>
      </c>
      <c r="K15" s="11">
        <v>20800</v>
      </c>
      <c r="L15" s="11">
        <v>0</v>
      </c>
      <c r="M15" s="11">
        <v>0</v>
      </c>
      <c r="N15" s="11">
        <f>0+5200</f>
        <v>5200</v>
      </c>
      <c r="O15" s="11">
        <f t="shared" ref="O15:O81" si="0">SUM(G15:N15)</f>
        <v>48422.2</v>
      </c>
      <c r="R15" s="12">
        <f>O15-'[1]станом на 23.02.22'!O15</f>
        <v>5200</v>
      </c>
      <c r="S15" s="12">
        <f>O15-'[1]ЗМІНИ 30.11_110123'!O15</f>
        <v>0</v>
      </c>
    </row>
    <row r="16" spans="1:19" ht="72.75" customHeight="1" x14ac:dyDescent="0.2">
      <c r="A16" s="13"/>
      <c r="B16" s="16"/>
      <c r="C16" s="17" t="s">
        <v>18</v>
      </c>
      <c r="D16" s="10" t="s">
        <v>17</v>
      </c>
      <c r="E16" s="245"/>
      <c r="F16" s="10" t="s">
        <v>15</v>
      </c>
      <c r="G16" s="11">
        <v>17132.7</v>
      </c>
      <c r="H16" s="18">
        <v>15000</v>
      </c>
      <c r="I16" s="18">
        <v>8150</v>
      </c>
      <c r="J16" s="18">
        <v>7800</v>
      </c>
      <c r="K16" s="18">
        <v>13000</v>
      </c>
      <c r="L16" s="18">
        <v>12500</v>
      </c>
      <c r="M16" s="18">
        <v>13750</v>
      </c>
      <c r="N16" s="18">
        <f>15125-5200</f>
        <v>9925</v>
      </c>
      <c r="O16" s="11">
        <f t="shared" si="0"/>
        <v>97257.7</v>
      </c>
      <c r="R16" s="12">
        <f>O16-'[1]станом на 23.02.22'!O16</f>
        <v>-5200</v>
      </c>
      <c r="S16" s="12">
        <f>O16-'[1]ЗМІНИ 30.11_110123'!O16</f>
        <v>0</v>
      </c>
    </row>
    <row r="17" spans="1:19" ht="72" customHeight="1" x14ac:dyDescent="0.2">
      <c r="A17" s="13"/>
      <c r="B17" s="16"/>
      <c r="C17" s="17" t="s">
        <v>19</v>
      </c>
      <c r="D17" s="10" t="s">
        <v>20</v>
      </c>
      <c r="E17" s="245"/>
      <c r="F17" s="10" t="s">
        <v>15</v>
      </c>
      <c r="G17" s="11">
        <v>100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1">
        <f t="shared" si="0"/>
        <v>100</v>
      </c>
      <c r="R17" s="12">
        <f>O17-'[1]станом на 23.02.22'!O17</f>
        <v>0</v>
      </c>
      <c r="S17" s="12">
        <f>O17-'[1]ЗМІНИ 30.11_110123'!O17</f>
        <v>0</v>
      </c>
    </row>
    <row r="18" spans="1:19" ht="71.25" customHeight="1" x14ac:dyDescent="0.2">
      <c r="A18" s="13"/>
      <c r="B18" s="16"/>
      <c r="C18" s="17" t="s">
        <v>21</v>
      </c>
      <c r="D18" s="10" t="s">
        <v>20</v>
      </c>
      <c r="E18" s="245"/>
      <c r="F18" s="10" t="s">
        <v>15</v>
      </c>
      <c r="G18" s="11">
        <v>290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1">
        <f t="shared" si="0"/>
        <v>290</v>
      </c>
      <c r="R18" s="12">
        <f>O18-'[1]станом на 23.02.22'!O18</f>
        <v>0</v>
      </c>
      <c r="S18" s="12">
        <f>O18-'[1]ЗМІНИ 30.11_110123'!O18</f>
        <v>0</v>
      </c>
    </row>
    <row r="19" spans="1:19" ht="71.25" customHeight="1" x14ac:dyDescent="0.2">
      <c r="A19" s="13"/>
      <c r="B19" s="16"/>
      <c r="C19" s="17" t="s">
        <v>22</v>
      </c>
      <c r="D19" s="10" t="s">
        <v>20</v>
      </c>
      <c r="E19" s="245"/>
      <c r="F19" s="10" t="s">
        <v>15</v>
      </c>
      <c r="G19" s="11">
        <v>60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1">
        <f t="shared" si="0"/>
        <v>60</v>
      </c>
      <c r="R19" s="12">
        <f>O19-'[1]станом на 23.02.22'!O19</f>
        <v>0</v>
      </c>
      <c r="S19" s="12">
        <f>O19-'[1]ЗМІНИ 30.11_110123'!O19</f>
        <v>0</v>
      </c>
    </row>
    <row r="20" spans="1:19" ht="67.5" customHeight="1" x14ac:dyDescent="0.2">
      <c r="A20" s="13"/>
      <c r="B20" s="16"/>
      <c r="C20" s="17" t="s">
        <v>23</v>
      </c>
      <c r="D20" s="10" t="s">
        <v>20</v>
      </c>
      <c r="E20" s="245"/>
      <c r="F20" s="10" t="s">
        <v>15</v>
      </c>
      <c r="G20" s="11">
        <v>100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1">
        <f t="shared" si="0"/>
        <v>100</v>
      </c>
      <c r="R20" s="12">
        <f>O20-'[1]станом на 23.02.22'!O20</f>
        <v>0</v>
      </c>
      <c r="S20" s="12">
        <f>O20-'[1]ЗМІНИ 30.11_110123'!O20</f>
        <v>0</v>
      </c>
    </row>
    <row r="21" spans="1:19" ht="62.25" customHeight="1" x14ac:dyDescent="0.2">
      <c r="A21" s="13"/>
      <c r="B21" s="16"/>
      <c r="C21" s="17" t="s">
        <v>24</v>
      </c>
      <c r="D21" s="10" t="s">
        <v>17</v>
      </c>
      <c r="E21" s="19"/>
      <c r="F21" s="10" t="s">
        <v>15</v>
      </c>
      <c r="G21" s="18">
        <v>0</v>
      </c>
      <c r="H21" s="18">
        <v>3500</v>
      </c>
      <c r="I21" s="18">
        <v>1200</v>
      </c>
      <c r="J21" s="18">
        <v>20000</v>
      </c>
      <c r="K21" s="18">
        <v>12050</v>
      </c>
      <c r="L21" s="18">
        <v>15500</v>
      </c>
      <c r="M21" s="18">
        <v>3850</v>
      </c>
      <c r="N21" s="18">
        <v>4235</v>
      </c>
      <c r="O21" s="11">
        <f t="shared" si="0"/>
        <v>60335</v>
      </c>
      <c r="R21" s="12">
        <f>O21-'[1]станом на 23.02.22'!O21</f>
        <v>0</v>
      </c>
      <c r="S21" s="12">
        <f>O21-'[1]ЗМІНИ 30.11_110123'!O21</f>
        <v>0</v>
      </c>
    </row>
    <row r="22" spans="1:19" ht="69" customHeight="1" x14ac:dyDescent="0.2">
      <c r="A22" s="20"/>
      <c r="B22" s="21"/>
      <c r="C22" s="22" t="s">
        <v>25</v>
      </c>
      <c r="D22" s="23" t="s">
        <v>20</v>
      </c>
      <c r="E22" s="24"/>
      <c r="F22" s="10" t="s">
        <v>15</v>
      </c>
      <c r="G22" s="18">
        <v>0</v>
      </c>
      <c r="H22" s="18">
        <v>200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1">
        <f t="shared" si="0"/>
        <v>200</v>
      </c>
      <c r="R22" s="12">
        <f>O22-'[1]станом на 23.02.22'!O22</f>
        <v>0</v>
      </c>
      <c r="S22" s="12">
        <f>O22-'[1]ЗМІНИ 30.11_110123'!O22</f>
        <v>0</v>
      </c>
    </row>
    <row r="23" spans="1:19" ht="43.5" customHeight="1" x14ac:dyDescent="0.2">
      <c r="A23" s="241">
        <v>2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R23" s="12">
        <f>O23-'[1]станом на 23.02.22'!O23</f>
        <v>0</v>
      </c>
      <c r="S23" s="12">
        <f>O23-'[1]ЗМІНИ 30.11_110123'!O23</f>
        <v>0</v>
      </c>
    </row>
    <row r="24" spans="1:19" ht="33" customHeight="1" x14ac:dyDescent="0.2">
      <c r="A24" s="246" t="s">
        <v>26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R24" s="12">
        <f>O24-'[1]станом на 23.02.22'!O24</f>
        <v>0</v>
      </c>
      <c r="S24" s="12">
        <f>O24-'[1]ЗМІНИ 30.11_110123'!O24</f>
        <v>0</v>
      </c>
    </row>
    <row r="25" spans="1:19" ht="28.5" customHeight="1" x14ac:dyDescent="0.2">
      <c r="A25" s="25">
        <v>1</v>
      </c>
      <c r="B25" s="26">
        <v>2</v>
      </c>
      <c r="C25" s="27">
        <v>3</v>
      </c>
      <c r="D25" s="7">
        <v>4</v>
      </c>
      <c r="E25" s="7">
        <v>5</v>
      </c>
      <c r="F25" s="7">
        <v>6</v>
      </c>
      <c r="G25" s="7">
        <v>7</v>
      </c>
      <c r="H25" s="7">
        <v>8</v>
      </c>
      <c r="I25" s="7">
        <v>9</v>
      </c>
      <c r="J25" s="7">
        <v>10</v>
      </c>
      <c r="K25" s="7">
        <v>11</v>
      </c>
      <c r="L25" s="7">
        <v>12</v>
      </c>
      <c r="M25" s="7">
        <v>13</v>
      </c>
      <c r="N25" s="7">
        <v>14</v>
      </c>
      <c r="O25" s="7">
        <v>15</v>
      </c>
      <c r="R25" s="12">
        <f>O25-'[1]станом на 23.02.22'!O25</f>
        <v>0</v>
      </c>
      <c r="S25" s="12">
        <f>O25-'[1]ЗМІНИ 30.11_110123'!O25</f>
        <v>0</v>
      </c>
    </row>
    <row r="26" spans="1:19" ht="69.75" customHeight="1" x14ac:dyDescent="0.2">
      <c r="A26" s="13"/>
      <c r="B26" s="248"/>
      <c r="C26" s="28" t="s">
        <v>27</v>
      </c>
      <c r="D26" s="10" t="s">
        <v>20</v>
      </c>
      <c r="E26" s="29"/>
      <c r="F26" s="10" t="s">
        <v>15</v>
      </c>
      <c r="G26" s="18">
        <v>0</v>
      </c>
      <c r="H26" s="11">
        <v>60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1">
        <f t="shared" si="0"/>
        <v>60</v>
      </c>
      <c r="R26" s="12">
        <f>O26-'[1]станом на 23.02.22'!O26</f>
        <v>0</v>
      </c>
      <c r="S26" s="12">
        <f>O26-'[1]ЗМІНИ 30.11_110123'!O26</f>
        <v>0</v>
      </c>
    </row>
    <row r="27" spans="1:19" ht="73.5" customHeight="1" x14ac:dyDescent="0.2">
      <c r="A27" s="13"/>
      <c r="B27" s="249"/>
      <c r="C27" s="28" t="s">
        <v>28</v>
      </c>
      <c r="D27" s="10" t="s">
        <v>20</v>
      </c>
      <c r="E27" s="29"/>
      <c r="F27" s="10" t="s">
        <v>15</v>
      </c>
      <c r="G27" s="18">
        <v>0</v>
      </c>
      <c r="H27" s="11">
        <v>150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1">
        <f t="shared" si="0"/>
        <v>150</v>
      </c>
      <c r="R27" s="12">
        <f>O27-'[1]станом на 23.02.22'!O27</f>
        <v>0</v>
      </c>
      <c r="S27" s="12">
        <f>O27-'[1]ЗМІНИ 30.11_110123'!O27</f>
        <v>0</v>
      </c>
    </row>
    <row r="28" spans="1:19" ht="66.75" customHeight="1" x14ac:dyDescent="0.2">
      <c r="A28" s="13"/>
      <c r="B28" s="249"/>
      <c r="C28" s="28" t="s">
        <v>29</v>
      </c>
      <c r="D28" s="10" t="s">
        <v>20</v>
      </c>
      <c r="E28" s="29"/>
      <c r="F28" s="10" t="s">
        <v>15</v>
      </c>
      <c r="G28" s="18">
        <v>0</v>
      </c>
      <c r="H28" s="11">
        <v>150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1">
        <f t="shared" si="0"/>
        <v>150</v>
      </c>
      <c r="R28" s="12">
        <f>O28-'[1]станом на 23.02.22'!O28</f>
        <v>0</v>
      </c>
      <c r="S28" s="12">
        <f>O28-'[1]ЗМІНИ 30.11_110123'!O28</f>
        <v>0</v>
      </c>
    </row>
    <row r="29" spans="1:19" ht="84.75" customHeight="1" x14ac:dyDescent="0.2">
      <c r="A29" s="13"/>
      <c r="B29" s="30"/>
      <c r="C29" s="28" t="s">
        <v>30</v>
      </c>
      <c r="D29" s="10" t="s">
        <v>17</v>
      </c>
      <c r="E29" s="29"/>
      <c r="F29" s="10" t="s">
        <v>15</v>
      </c>
      <c r="G29" s="18">
        <v>0</v>
      </c>
      <c r="H29" s="11">
        <v>5500</v>
      </c>
      <c r="I29" s="11">
        <v>42900</v>
      </c>
      <c r="J29" s="11">
        <v>11871.2</v>
      </c>
      <c r="K29" s="11">
        <v>11940.3</v>
      </c>
      <c r="L29" s="11">
        <v>6000</v>
      </c>
      <c r="M29" s="11">
        <v>0</v>
      </c>
      <c r="N29" s="11">
        <v>0</v>
      </c>
      <c r="O29" s="11">
        <f t="shared" si="0"/>
        <v>78211.5</v>
      </c>
      <c r="R29" s="12">
        <f>O29-'[1]станом на 23.02.22'!O29</f>
        <v>0</v>
      </c>
      <c r="S29" s="12">
        <f>O29-'[1]ЗМІНИ 30.11_110123'!O29</f>
        <v>0</v>
      </c>
    </row>
    <row r="30" spans="1:19" ht="75" customHeight="1" x14ac:dyDescent="0.2">
      <c r="A30" s="13"/>
      <c r="B30" s="30"/>
      <c r="C30" s="31" t="s">
        <v>31</v>
      </c>
      <c r="D30" s="10" t="s">
        <v>17</v>
      </c>
      <c r="E30" s="29"/>
      <c r="F30" s="10" t="s">
        <v>15</v>
      </c>
      <c r="G30" s="11">
        <v>2000</v>
      </c>
      <c r="H30" s="11">
        <v>2000</v>
      </c>
      <c r="I30" s="11">
        <v>3250</v>
      </c>
      <c r="J30" s="11">
        <v>4600</v>
      </c>
      <c r="K30" s="11">
        <v>4000</v>
      </c>
      <c r="L30" s="11">
        <f>0+397.7</f>
        <v>397.7</v>
      </c>
      <c r="M30" s="11">
        <v>0</v>
      </c>
      <c r="N30" s="11">
        <v>0</v>
      </c>
      <c r="O30" s="11">
        <f t="shared" si="0"/>
        <v>16247.7</v>
      </c>
      <c r="R30" s="12">
        <f>O30-'[1]станом на 23.02.22'!O30</f>
        <v>0</v>
      </c>
      <c r="S30" s="12">
        <f>O30-'[1]ЗМІНИ 30.11_110123'!O30</f>
        <v>0</v>
      </c>
    </row>
    <row r="31" spans="1:19" ht="78.75" customHeight="1" x14ac:dyDescent="0.2">
      <c r="A31" s="13"/>
      <c r="B31" s="30"/>
      <c r="C31" s="28" t="s">
        <v>32</v>
      </c>
      <c r="D31" s="10" t="s">
        <v>17</v>
      </c>
      <c r="E31" s="29"/>
      <c r="F31" s="10" t="s">
        <v>15</v>
      </c>
      <c r="G31" s="18">
        <v>100</v>
      </c>
      <c r="H31" s="11">
        <v>2000</v>
      </c>
      <c r="I31" s="11">
        <v>3100</v>
      </c>
      <c r="J31" s="11">
        <v>12000</v>
      </c>
      <c r="K31" s="11">
        <v>14573.5</v>
      </c>
      <c r="L31" s="11">
        <f>1017.3</f>
        <v>1017.3</v>
      </c>
      <c r="M31" s="11">
        <v>0</v>
      </c>
      <c r="N31" s="11">
        <v>0</v>
      </c>
      <c r="O31" s="11">
        <f t="shared" si="0"/>
        <v>32790.800000000003</v>
      </c>
      <c r="R31" s="12">
        <f>O31-'[1]станом на 23.02.22'!O31</f>
        <v>0</v>
      </c>
      <c r="S31" s="12">
        <f>O31-'[1]ЗМІНИ 30.11_110123'!O31</f>
        <v>0</v>
      </c>
    </row>
    <row r="32" spans="1:19" ht="73.5" customHeight="1" x14ac:dyDescent="0.2">
      <c r="A32" s="13"/>
      <c r="B32" s="30"/>
      <c r="C32" s="31" t="s">
        <v>33</v>
      </c>
      <c r="D32" s="10" t="s">
        <v>17</v>
      </c>
      <c r="E32" s="29"/>
      <c r="F32" s="10" t="s">
        <v>15</v>
      </c>
      <c r="G32" s="11">
        <v>1500</v>
      </c>
      <c r="H32" s="11">
        <v>1680</v>
      </c>
      <c r="I32" s="11">
        <v>1800</v>
      </c>
      <c r="J32" s="11">
        <v>3450</v>
      </c>
      <c r="K32" s="11">
        <v>3000</v>
      </c>
      <c r="L32" s="11">
        <f>0+1500+815.9</f>
        <v>2315.9</v>
      </c>
      <c r="M32" s="11">
        <v>0</v>
      </c>
      <c r="N32" s="11">
        <f>2850.5</f>
        <v>2850.5</v>
      </c>
      <c r="O32" s="11">
        <f t="shared" si="0"/>
        <v>16596.400000000001</v>
      </c>
      <c r="R32" s="12">
        <f>O32-'[1]станом на 23.02.22'!O32</f>
        <v>2850.5000000000018</v>
      </c>
      <c r="S32" s="12">
        <f>O32-'[1]ЗМІНИ 30.11_110123'!O32</f>
        <v>0</v>
      </c>
    </row>
    <row r="33" spans="1:19" ht="75.75" customHeight="1" x14ac:dyDescent="0.2">
      <c r="A33" s="13"/>
      <c r="B33" s="30"/>
      <c r="C33" s="31" t="s">
        <v>34</v>
      </c>
      <c r="D33" s="10" t="s">
        <v>17</v>
      </c>
      <c r="E33" s="29"/>
      <c r="F33" s="10" t="s">
        <v>15</v>
      </c>
      <c r="G33" s="18">
        <v>0</v>
      </c>
      <c r="H33" s="11">
        <f>5650</f>
        <v>5650</v>
      </c>
      <c r="I33" s="11">
        <v>6800</v>
      </c>
      <c r="J33" s="11">
        <v>8000</v>
      </c>
      <c r="K33" s="11">
        <v>9500</v>
      </c>
      <c r="L33" s="11">
        <v>3500</v>
      </c>
      <c r="M33" s="11">
        <v>3850</v>
      </c>
      <c r="N33" s="11">
        <f>4235-4235</f>
        <v>0</v>
      </c>
      <c r="O33" s="11">
        <f t="shared" si="0"/>
        <v>37300</v>
      </c>
      <c r="R33" s="12">
        <f>O33-'[1]станом на 23.02.22'!O33</f>
        <v>0</v>
      </c>
      <c r="S33" s="12">
        <f>O33-'[1]ЗМІНИ 30.11_110123'!O33</f>
        <v>0</v>
      </c>
    </row>
    <row r="34" spans="1:19" ht="183.75" customHeight="1" x14ac:dyDescent="0.2">
      <c r="A34" s="20"/>
      <c r="B34" s="32"/>
      <c r="C34" s="33" t="s">
        <v>35</v>
      </c>
      <c r="D34" s="23" t="s">
        <v>17</v>
      </c>
      <c r="E34" s="24"/>
      <c r="F34" s="10" t="s">
        <v>15</v>
      </c>
      <c r="G34" s="18">
        <v>0</v>
      </c>
      <c r="H34" s="11">
        <v>9116.2999999999993</v>
      </c>
      <c r="I34" s="18">
        <v>0</v>
      </c>
      <c r="J34" s="18">
        <v>200</v>
      </c>
      <c r="K34" s="18">
        <v>14000</v>
      </c>
      <c r="L34" s="18">
        <v>9713.6</v>
      </c>
      <c r="M34" s="18">
        <v>0</v>
      </c>
      <c r="N34" s="18">
        <v>0</v>
      </c>
      <c r="O34" s="11">
        <f t="shared" si="0"/>
        <v>33029.9</v>
      </c>
      <c r="R34" s="12">
        <f>O34-'[1]станом на 23.02.22'!O34</f>
        <v>0</v>
      </c>
      <c r="S34" s="12">
        <f>O34-'[1]ЗМІНИ 30.11_110123'!O34</f>
        <v>0</v>
      </c>
    </row>
    <row r="35" spans="1:19" ht="26.25" customHeight="1" x14ac:dyDescent="0.2">
      <c r="A35" s="241">
        <v>3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R35" s="12">
        <f>O35-'[1]станом на 23.02.22'!O35</f>
        <v>0</v>
      </c>
      <c r="S35" s="12">
        <f>O35-'[1]ЗМІНИ 30.11_110123'!O35</f>
        <v>0</v>
      </c>
    </row>
    <row r="36" spans="1:19" ht="24" customHeight="1" x14ac:dyDescent="0.2">
      <c r="A36" s="246" t="s">
        <v>26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R36" s="12">
        <f>O36-'[1]станом на 23.02.22'!O36</f>
        <v>0</v>
      </c>
      <c r="S36" s="12">
        <f>O36-'[1]ЗМІНИ 30.11_110123'!O36</f>
        <v>0</v>
      </c>
    </row>
    <row r="37" spans="1:19" ht="26.25" customHeight="1" x14ac:dyDescent="0.2">
      <c r="A37" s="25">
        <v>1</v>
      </c>
      <c r="B37" s="26">
        <v>2</v>
      </c>
      <c r="C37" s="27">
        <v>3</v>
      </c>
      <c r="D37" s="7">
        <v>4</v>
      </c>
      <c r="E37" s="7">
        <v>5</v>
      </c>
      <c r="F37" s="7">
        <v>6</v>
      </c>
      <c r="G37" s="7">
        <v>7</v>
      </c>
      <c r="H37" s="7">
        <v>8</v>
      </c>
      <c r="I37" s="7">
        <v>9</v>
      </c>
      <c r="J37" s="7">
        <v>10</v>
      </c>
      <c r="K37" s="7">
        <v>11</v>
      </c>
      <c r="L37" s="7">
        <v>12</v>
      </c>
      <c r="M37" s="7">
        <v>13</v>
      </c>
      <c r="N37" s="7">
        <v>14</v>
      </c>
      <c r="O37" s="7">
        <v>15</v>
      </c>
      <c r="R37" s="12">
        <f>O37-'[1]станом на 23.02.22'!O37</f>
        <v>0</v>
      </c>
      <c r="S37" s="12">
        <f>O37-'[1]ЗМІНИ 30.11_110123'!O37</f>
        <v>0</v>
      </c>
    </row>
    <row r="38" spans="1:19" ht="147.75" customHeight="1" x14ac:dyDescent="0.2">
      <c r="A38" s="34"/>
      <c r="B38" s="35"/>
      <c r="C38" s="28" t="s">
        <v>36</v>
      </c>
      <c r="D38" s="10" t="s">
        <v>17</v>
      </c>
      <c r="E38" s="29"/>
      <c r="F38" s="10" t="s">
        <v>15</v>
      </c>
      <c r="G38" s="18">
        <v>0</v>
      </c>
      <c r="H38" s="18">
        <v>0</v>
      </c>
      <c r="I38" s="11">
        <v>10000</v>
      </c>
      <c r="J38" s="18">
        <v>0</v>
      </c>
      <c r="K38" s="18">
        <v>0</v>
      </c>
      <c r="L38" s="18">
        <v>16000</v>
      </c>
      <c r="M38" s="18">
        <v>0</v>
      </c>
      <c r="N38" s="18">
        <v>0</v>
      </c>
      <c r="O38" s="11">
        <f t="shared" si="0"/>
        <v>26000</v>
      </c>
      <c r="R38" s="12">
        <f>O38-'[1]станом на 23.02.22'!O38</f>
        <v>0</v>
      </c>
      <c r="S38" s="12">
        <f>O38-'[1]ЗМІНИ 30.11_110123'!O38</f>
        <v>0</v>
      </c>
    </row>
    <row r="39" spans="1:19" ht="179.25" customHeight="1" x14ac:dyDescent="0.2">
      <c r="A39" s="36"/>
      <c r="B39" s="37"/>
      <c r="C39" s="38" t="s">
        <v>37</v>
      </c>
      <c r="D39" s="10" t="s">
        <v>17</v>
      </c>
      <c r="E39" s="29"/>
      <c r="F39" s="10" t="s">
        <v>15</v>
      </c>
      <c r="G39" s="18">
        <v>0</v>
      </c>
      <c r="H39" s="18">
        <v>0</v>
      </c>
      <c r="I39" s="18">
        <v>0</v>
      </c>
      <c r="J39" s="18">
        <v>2425</v>
      </c>
      <c r="K39" s="18">
        <v>1275</v>
      </c>
      <c r="L39" s="18">
        <v>286.39999999999998</v>
      </c>
      <c r="M39" s="18">
        <v>0</v>
      </c>
      <c r="N39" s="18">
        <v>0</v>
      </c>
      <c r="O39" s="11">
        <f t="shared" si="0"/>
        <v>3986.4</v>
      </c>
      <c r="R39" s="12">
        <f>O39-'[1]станом на 23.02.22'!O39</f>
        <v>0</v>
      </c>
      <c r="S39" s="12">
        <f>O39-'[1]ЗМІНИ 30.11_110123'!O39</f>
        <v>0</v>
      </c>
    </row>
    <row r="40" spans="1:19" ht="148.5" customHeight="1" x14ac:dyDescent="0.2">
      <c r="A40" s="13"/>
      <c r="B40" s="30"/>
      <c r="C40" s="28" t="s">
        <v>38</v>
      </c>
      <c r="D40" s="10" t="s">
        <v>17</v>
      </c>
      <c r="E40" s="29"/>
      <c r="F40" s="10" t="s">
        <v>15</v>
      </c>
      <c r="G40" s="18">
        <v>0</v>
      </c>
      <c r="H40" s="18">
        <v>0</v>
      </c>
      <c r="I40" s="11">
        <v>10000</v>
      </c>
      <c r="J40" s="18">
        <v>0</v>
      </c>
      <c r="K40" s="18">
        <v>0</v>
      </c>
      <c r="L40" s="18">
        <v>0</v>
      </c>
      <c r="M40" s="18">
        <f>16000-16000</f>
        <v>0</v>
      </c>
      <c r="N40" s="18">
        <v>0</v>
      </c>
      <c r="O40" s="11">
        <f t="shared" si="0"/>
        <v>10000</v>
      </c>
      <c r="R40" s="12">
        <f>O40-'[1]станом на 23.02.22'!O40</f>
        <v>0</v>
      </c>
      <c r="S40" s="12">
        <f>O40-'[1]ЗМІНИ 30.11_110123'!O40</f>
        <v>0</v>
      </c>
    </row>
    <row r="41" spans="1:19" ht="151.5" customHeight="1" x14ac:dyDescent="0.2">
      <c r="A41" s="13"/>
      <c r="B41" s="30"/>
      <c r="C41" s="38" t="s">
        <v>39</v>
      </c>
      <c r="D41" s="10" t="s">
        <v>17</v>
      </c>
      <c r="E41" s="29"/>
      <c r="F41" s="10" t="s">
        <v>15</v>
      </c>
      <c r="G41" s="18">
        <v>0</v>
      </c>
      <c r="H41" s="18">
        <v>0</v>
      </c>
      <c r="I41" s="18">
        <v>0</v>
      </c>
      <c r="J41" s="11">
        <v>8000</v>
      </c>
      <c r="K41" s="18">
        <v>0</v>
      </c>
      <c r="L41" s="18">
        <v>0</v>
      </c>
      <c r="M41" s="18">
        <v>4000</v>
      </c>
      <c r="N41" s="18">
        <f>18000-18000</f>
        <v>0</v>
      </c>
      <c r="O41" s="11">
        <f t="shared" si="0"/>
        <v>12000</v>
      </c>
      <c r="R41" s="12">
        <f>O41-'[1]станом на 23.02.22'!O41</f>
        <v>0</v>
      </c>
      <c r="S41" s="12">
        <f>O41-'[1]ЗМІНИ 30.11_110123'!O41</f>
        <v>0</v>
      </c>
    </row>
    <row r="42" spans="1:19" ht="177.75" customHeight="1" x14ac:dyDescent="0.2">
      <c r="A42" s="20"/>
      <c r="B42" s="32"/>
      <c r="C42" s="39" t="s">
        <v>40</v>
      </c>
      <c r="D42" s="23" t="s">
        <v>17</v>
      </c>
      <c r="E42" s="24"/>
      <c r="F42" s="23" t="s">
        <v>15</v>
      </c>
      <c r="G42" s="18">
        <v>0</v>
      </c>
      <c r="H42" s="18">
        <v>0</v>
      </c>
      <c r="I42" s="18">
        <v>0</v>
      </c>
      <c r="J42" s="18">
        <v>0</v>
      </c>
      <c r="K42" s="11">
        <v>10000</v>
      </c>
      <c r="L42" s="11">
        <v>0</v>
      </c>
      <c r="M42" s="11">
        <v>0</v>
      </c>
      <c r="N42" s="11">
        <v>16000</v>
      </c>
      <c r="O42" s="11">
        <f t="shared" si="0"/>
        <v>26000</v>
      </c>
      <c r="R42" s="12">
        <f>O42-'[1]станом на 23.02.22'!O42</f>
        <v>0</v>
      </c>
      <c r="S42" s="12">
        <f>O42-'[1]ЗМІНИ 30.11_110123'!O42</f>
        <v>0</v>
      </c>
    </row>
    <row r="43" spans="1:19" ht="30.75" customHeight="1" x14ac:dyDescent="0.2">
      <c r="A43" s="241">
        <v>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R43" s="12">
        <f>O43-'[1]станом на 23.02.22'!O43</f>
        <v>0</v>
      </c>
      <c r="S43" s="12">
        <f>O43-'[1]ЗМІНИ 30.11_110123'!O43</f>
        <v>0</v>
      </c>
    </row>
    <row r="44" spans="1:19" ht="24" customHeight="1" x14ac:dyDescent="0.2">
      <c r="A44" s="246" t="s">
        <v>26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R44" s="12">
        <f>O44-'[1]станом на 23.02.22'!O44</f>
        <v>0</v>
      </c>
      <c r="S44" s="12">
        <f>O44-'[1]ЗМІНИ 30.11_110123'!O44</f>
        <v>0</v>
      </c>
    </row>
    <row r="45" spans="1:19" ht="29.25" customHeight="1" x14ac:dyDescent="0.2">
      <c r="A45" s="40">
        <v>1</v>
      </c>
      <c r="B45" s="27">
        <v>2</v>
      </c>
      <c r="C45" s="7">
        <v>3</v>
      </c>
      <c r="D45" s="7">
        <v>4</v>
      </c>
      <c r="E45" s="41">
        <v>5</v>
      </c>
      <c r="F45" s="7">
        <v>6</v>
      </c>
      <c r="G45" s="7">
        <v>7</v>
      </c>
      <c r="H45" s="7">
        <v>8</v>
      </c>
      <c r="I45" s="7">
        <v>9</v>
      </c>
      <c r="J45" s="7">
        <v>10</v>
      </c>
      <c r="K45" s="7">
        <v>11</v>
      </c>
      <c r="L45" s="7">
        <v>12</v>
      </c>
      <c r="M45" s="7">
        <v>13</v>
      </c>
      <c r="N45" s="7">
        <v>14</v>
      </c>
      <c r="O45" s="7">
        <v>15</v>
      </c>
      <c r="R45" s="12">
        <f>O45-'[1]станом на 23.02.22'!O45</f>
        <v>0</v>
      </c>
      <c r="S45" s="12">
        <f>O45-'[1]ЗМІНИ 30.11_110123'!O45</f>
        <v>0</v>
      </c>
    </row>
    <row r="46" spans="1:19" ht="132.75" customHeight="1" x14ac:dyDescent="0.2">
      <c r="A46" s="250"/>
      <c r="B46" s="42"/>
      <c r="C46" s="43" t="s">
        <v>41</v>
      </c>
      <c r="D46" s="44" t="s">
        <v>17</v>
      </c>
      <c r="E46" s="45"/>
      <c r="F46" s="46" t="s">
        <v>15</v>
      </c>
      <c r="G46" s="18">
        <v>0</v>
      </c>
      <c r="H46" s="11">
        <f>5000-830</f>
        <v>4170</v>
      </c>
      <c r="I46" s="11">
        <v>2000</v>
      </c>
      <c r="J46" s="11">
        <v>2500</v>
      </c>
      <c r="K46" s="11">
        <v>0</v>
      </c>
      <c r="L46" s="11">
        <v>3500</v>
      </c>
      <c r="M46" s="11">
        <v>2000</v>
      </c>
      <c r="N46" s="11">
        <f>2000-2000</f>
        <v>0</v>
      </c>
      <c r="O46" s="11">
        <f t="shared" si="0"/>
        <v>14170</v>
      </c>
      <c r="R46" s="12">
        <f>O46-'[1]станом на 23.02.22'!O46</f>
        <v>-2000</v>
      </c>
      <c r="S46" s="12">
        <f>O46-'[1]ЗМІНИ 30.11_110123'!O46</f>
        <v>0</v>
      </c>
    </row>
    <row r="47" spans="1:19" ht="60.75" customHeight="1" x14ac:dyDescent="0.2">
      <c r="A47" s="249"/>
      <c r="B47" s="42"/>
      <c r="C47" s="47" t="s">
        <v>42</v>
      </c>
      <c r="D47" s="48" t="s">
        <v>17</v>
      </c>
      <c r="E47" s="36"/>
      <c r="F47" s="49" t="s">
        <v>15</v>
      </c>
      <c r="G47" s="11">
        <v>0</v>
      </c>
      <c r="H47" s="18">
        <v>60000</v>
      </c>
      <c r="I47" s="18">
        <v>0</v>
      </c>
      <c r="J47" s="18">
        <v>0</v>
      </c>
      <c r="K47" s="18">
        <v>0</v>
      </c>
      <c r="L47" s="18">
        <f>60000-1000-4500</f>
        <v>54500</v>
      </c>
      <c r="M47" s="18">
        <f>66000</f>
        <v>66000</v>
      </c>
      <c r="N47" s="18">
        <f>72600-72600</f>
        <v>0</v>
      </c>
      <c r="O47" s="11">
        <f t="shared" si="0"/>
        <v>180500</v>
      </c>
      <c r="R47" s="12">
        <f>O47-'[1]станом на 23.02.22'!O47</f>
        <v>-72600</v>
      </c>
      <c r="S47" s="12">
        <f>O47-'[1]ЗМІНИ 30.11_110123'!O47</f>
        <v>-72600</v>
      </c>
    </row>
    <row r="48" spans="1:19" ht="69" customHeight="1" x14ac:dyDescent="0.2">
      <c r="A48" s="249"/>
      <c r="B48" s="42"/>
      <c r="C48" s="50" t="s">
        <v>43</v>
      </c>
      <c r="D48" s="51" t="s">
        <v>20</v>
      </c>
      <c r="E48" s="36"/>
      <c r="F48" s="46" t="s">
        <v>15</v>
      </c>
      <c r="G48" s="11">
        <f>30893.1-20000</f>
        <v>10893.099999999999</v>
      </c>
      <c r="H48" s="18">
        <v>0</v>
      </c>
      <c r="I48" s="18">
        <v>33783</v>
      </c>
      <c r="J48" s="18">
        <v>44021.8</v>
      </c>
      <c r="K48" s="18">
        <v>61825.56</v>
      </c>
      <c r="L48" s="18">
        <v>0</v>
      </c>
      <c r="M48" s="18">
        <v>0</v>
      </c>
      <c r="N48" s="18">
        <v>0</v>
      </c>
      <c r="O48" s="11">
        <f t="shared" si="0"/>
        <v>150523.46</v>
      </c>
      <c r="R48" s="12">
        <f>O48-'[1]станом на 23.02.22'!O48</f>
        <v>0</v>
      </c>
      <c r="S48" s="12">
        <f>O48-'[1]ЗМІНИ 30.11_110123'!O48</f>
        <v>47423.459999999992</v>
      </c>
    </row>
    <row r="49" spans="1:19" ht="96" customHeight="1" x14ac:dyDescent="0.2">
      <c r="A49" s="249"/>
      <c r="B49" s="42"/>
      <c r="C49" s="50" t="s">
        <v>44</v>
      </c>
      <c r="D49" s="51" t="s">
        <v>20</v>
      </c>
      <c r="E49" s="36"/>
      <c r="F49" s="46" t="s">
        <v>15</v>
      </c>
      <c r="G49" s="11">
        <v>0</v>
      </c>
      <c r="H49" s="18">
        <v>0</v>
      </c>
      <c r="I49" s="18">
        <v>3000</v>
      </c>
      <c r="J49" s="18">
        <v>2597.8000000000002</v>
      </c>
      <c r="K49" s="18">
        <v>1300</v>
      </c>
      <c r="L49" s="18">
        <v>0</v>
      </c>
      <c r="M49" s="18">
        <v>0</v>
      </c>
      <c r="N49" s="18">
        <v>0</v>
      </c>
      <c r="O49" s="11">
        <f t="shared" si="0"/>
        <v>6897.8</v>
      </c>
      <c r="R49" s="12">
        <f>O49-'[1]станом на 23.02.22'!O49</f>
        <v>0</v>
      </c>
      <c r="S49" s="12">
        <f>O49-'[1]ЗМІНИ 30.11_110123'!O49</f>
        <v>-143625.66</v>
      </c>
    </row>
    <row r="50" spans="1:19" ht="60.75" customHeight="1" x14ac:dyDescent="0.2">
      <c r="A50" s="36"/>
      <c r="B50" s="42"/>
      <c r="C50" s="50" t="s">
        <v>45</v>
      </c>
      <c r="D50" s="251" t="s">
        <v>46</v>
      </c>
      <c r="E50" s="36"/>
      <c r="F50" s="253" t="s">
        <v>15</v>
      </c>
      <c r="G50" s="11">
        <v>0</v>
      </c>
      <c r="H50" s="18">
        <v>0</v>
      </c>
      <c r="I50" s="18">
        <v>0</v>
      </c>
      <c r="J50" s="18">
        <v>2300</v>
      </c>
      <c r="K50" s="18">
        <v>0</v>
      </c>
      <c r="L50" s="18">
        <f>SUM(L52:L57)+L58</f>
        <v>15850</v>
      </c>
      <c r="M50" s="18">
        <f>SUM(M52:M57)</f>
        <v>9150</v>
      </c>
      <c r="N50" s="18">
        <f>SUM(N52:N57)</f>
        <v>8235</v>
      </c>
      <c r="O50" s="11">
        <f>SUM(G50:N50)</f>
        <v>35535</v>
      </c>
      <c r="R50" s="12">
        <f>O50-'[1]станом на 23.02.22'!O50</f>
        <v>0</v>
      </c>
      <c r="S50" s="12">
        <f>O50-'[1]ЗМІНИ 30.11_110123'!O50</f>
        <v>28637.200000000001</v>
      </c>
    </row>
    <row r="51" spans="1:19" ht="21" customHeight="1" x14ac:dyDescent="0.2">
      <c r="A51" s="36"/>
      <c r="B51" s="42"/>
      <c r="C51" s="50" t="s">
        <v>47</v>
      </c>
      <c r="D51" s="252"/>
      <c r="E51" s="36"/>
      <c r="F51" s="254"/>
      <c r="G51" s="11"/>
      <c r="H51" s="18"/>
      <c r="I51" s="18"/>
      <c r="J51" s="18"/>
      <c r="K51" s="18"/>
      <c r="L51" s="18"/>
      <c r="M51" s="18"/>
      <c r="N51" s="18"/>
      <c r="O51" s="11"/>
      <c r="R51" s="12">
        <f>O51-'[1]станом на 23.02.22'!O51</f>
        <v>0</v>
      </c>
      <c r="S51" s="12">
        <f>O51-'[1]ЗМІНИ 30.11_110123'!O51</f>
        <v>-35535</v>
      </c>
    </row>
    <row r="52" spans="1:19" ht="42.75" customHeight="1" x14ac:dyDescent="0.2">
      <c r="A52" s="36"/>
      <c r="B52" s="42"/>
      <c r="C52" s="50" t="s">
        <v>48</v>
      </c>
      <c r="D52" s="252"/>
      <c r="E52" s="36"/>
      <c r="F52" s="254"/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8">
        <v>3500</v>
      </c>
      <c r="M52" s="18">
        <f>900-350-350</f>
        <v>200</v>
      </c>
      <c r="N52" s="18">
        <v>0</v>
      </c>
      <c r="O52" s="11">
        <f t="shared" ref="O52:O57" si="1">SUM(G52:N52)</f>
        <v>3700</v>
      </c>
      <c r="R52" s="12">
        <f>O52-'[1]станом на 23.02.22'!O52</f>
        <v>0</v>
      </c>
      <c r="S52" s="12">
        <f>O52-'[1]ЗМІНИ 30.11_110123'!O52</f>
        <v>3700</v>
      </c>
    </row>
    <row r="53" spans="1:19" ht="47.25" customHeight="1" x14ac:dyDescent="0.2">
      <c r="A53" s="36"/>
      <c r="B53" s="42"/>
      <c r="C53" s="50" t="s">
        <v>49</v>
      </c>
      <c r="D53" s="252"/>
      <c r="E53" s="52"/>
      <c r="F53" s="254"/>
      <c r="G53" s="11">
        <v>0</v>
      </c>
      <c r="H53" s="11">
        <v>0</v>
      </c>
      <c r="I53" s="11">
        <v>0</v>
      </c>
      <c r="J53" s="11">
        <v>2300</v>
      </c>
      <c r="K53" s="11">
        <v>0</v>
      </c>
      <c r="L53" s="18">
        <f>5100-450</f>
        <v>4650</v>
      </c>
      <c r="M53" s="18">
        <v>2800</v>
      </c>
      <c r="N53" s="18">
        <v>3000</v>
      </c>
      <c r="O53" s="11">
        <f t="shared" si="1"/>
        <v>12750</v>
      </c>
      <c r="R53" s="12">
        <f>O53-'[1]станом на 23.02.22'!O53</f>
        <v>0</v>
      </c>
      <c r="S53" s="12">
        <f>O53-'[1]ЗМІНИ 30.11_110123'!O53</f>
        <v>9050</v>
      </c>
    </row>
    <row r="54" spans="1:19" ht="39.75" customHeight="1" x14ac:dyDescent="0.2">
      <c r="A54" s="36"/>
      <c r="B54" s="42"/>
      <c r="C54" s="50" t="s">
        <v>50</v>
      </c>
      <c r="D54" s="252"/>
      <c r="E54" s="36"/>
      <c r="F54" s="254"/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8">
        <f>4000+375</f>
        <v>4375</v>
      </c>
      <c r="M54" s="18">
        <v>4300</v>
      </c>
      <c r="N54" s="18">
        <v>4500</v>
      </c>
      <c r="O54" s="11">
        <f t="shared" si="1"/>
        <v>13175</v>
      </c>
      <c r="R54" s="12">
        <f>O54-'[1]станом на 23.02.22'!O54</f>
        <v>0</v>
      </c>
      <c r="S54" s="12">
        <f>O54-'[1]ЗМІНИ 30.11_110123'!O54</f>
        <v>425</v>
      </c>
    </row>
    <row r="55" spans="1:19" ht="36" customHeight="1" x14ac:dyDescent="0.2">
      <c r="A55" s="36"/>
      <c r="B55" s="42"/>
      <c r="C55" s="50" t="s">
        <v>51</v>
      </c>
      <c r="D55" s="252"/>
      <c r="E55" s="36"/>
      <c r="F55" s="254"/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8">
        <v>0</v>
      </c>
      <c r="M55" s="18">
        <f>850+350</f>
        <v>1200</v>
      </c>
      <c r="N55" s="18">
        <v>735</v>
      </c>
      <c r="O55" s="11">
        <f t="shared" si="1"/>
        <v>1935</v>
      </c>
      <c r="R55" s="12">
        <f>O55-'[1]станом на 23.02.22'!O55</f>
        <v>0</v>
      </c>
      <c r="S55" s="12">
        <f>O55-'[1]ЗМІНИ 30.11_110123'!O55</f>
        <v>-11240</v>
      </c>
    </row>
    <row r="56" spans="1:19" ht="37.5" customHeight="1" x14ac:dyDescent="0.2">
      <c r="A56" s="36"/>
      <c r="B56" s="42"/>
      <c r="C56" s="17" t="s">
        <v>52</v>
      </c>
      <c r="D56" s="53"/>
      <c r="E56" s="36"/>
      <c r="F56" s="54"/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8">
        <v>0</v>
      </c>
      <c r="M56" s="18">
        <f>300+350</f>
        <v>650</v>
      </c>
      <c r="N56" s="18">
        <v>0</v>
      </c>
      <c r="O56" s="11">
        <f t="shared" si="1"/>
        <v>650</v>
      </c>
      <c r="R56" s="12">
        <f>O56-'[1]станом на 23.02.22'!O56</f>
        <v>0</v>
      </c>
      <c r="S56" s="12">
        <f>O56-'[1]ЗМІНИ 30.11_110123'!O56</f>
        <v>-1285</v>
      </c>
    </row>
    <row r="57" spans="1:19" ht="48.75" customHeight="1" x14ac:dyDescent="0.2">
      <c r="A57" s="36"/>
      <c r="B57" s="42"/>
      <c r="C57" s="17" t="s">
        <v>53</v>
      </c>
      <c r="D57" s="53"/>
      <c r="E57" s="36"/>
      <c r="F57" s="54"/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8">
        <v>2875</v>
      </c>
      <c r="M57" s="18">
        <v>0</v>
      </c>
      <c r="N57" s="18">
        <v>0</v>
      </c>
      <c r="O57" s="11">
        <f t="shared" si="1"/>
        <v>2875</v>
      </c>
      <c r="R57" s="12">
        <f>O57-'[1]станом на 23.02.22'!O57</f>
        <v>0</v>
      </c>
      <c r="S57" s="12">
        <f>O57-'[1]ЗМІНИ 30.11_110123'!O57</f>
        <v>2225</v>
      </c>
    </row>
    <row r="58" spans="1:19" ht="37.5" customHeight="1" x14ac:dyDescent="0.2">
      <c r="A58" s="36"/>
      <c r="B58" s="42"/>
      <c r="C58" s="17" t="s">
        <v>54</v>
      </c>
      <c r="D58" s="55"/>
      <c r="E58" s="36"/>
      <c r="F58" s="56"/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8">
        <v>450</v>
      </c>
      <c r="M58" s="11">
        <v>0</v>
      </c>
      <c r="N58" s="11">
        <v>0</v>
      </c>
      <c r="O58" s="11">
        <f>SUM(G58:N58)</f>
        <v>450</v>
      </c>
      <c r="R58" s="12">
        <f>O58-'[1]станом на 23.02.22'!O58</f>
        <v>0</v>
      </c>
      <c r="S58" s="12">
        <f>O58-'[1]ЗМІНИ 30.11_110123'!O58</f>
        <v>-2425</v>
      </c>
    </row>
    <row r="59" spans="1:19" ht="86.25" customHeight="1" x14ac:dyDescent="0.2">
      <c r="A59" s="57"/>
      <c r="B59" s="58"/>
      <c r="C59" s="22" t="s">
        <v>55</v>
      </c>
      <c r="D59" s="59" t="s">
        <v>46</v>
      </c>
      <c r="E59" s="57"/>
      <c r="F59" s="60" t="s">
        <v>15</v>
      </c>
      <c r="G59" s="61">
        <v>0</v>
      </c>
      <c r="H59" s="61">
        <v>0</v>
      </c>
      <c r="I59" s="61">
        <v>0</v>
      </c>
      <c r="J59" s="61">
        <v>2000</v>
      </c>
      <c r="K59" s="61">
        <v>1760.9</v>
      </c>
      <c r="L59" s="61">
        <f>2000+2100</f>
        <v>4100</v>
      </c>
      <c r="M59" s="11">
        <f>2500+3000+2149.3</f>
        <v>7649.3</v>
      </c>
      <c r="N59" s="11">
        <f>3000+10000+2000</f>
        <v>15000</v>
      </c>
      <c r="O59" s="11">
        <f t="shared" si="0"/>
        <v>30510.2</v>
      </c>
      <c r="R59" s="12">
        <f>O59-'[1]станом на 23.02.22'!O59</f>
        <v>14149.300000000001</v>
      </c>
      <c r="S59" s="12">
        <f>O59-'[1]ЗМІНИ 30.11_110123'!O59</f>
        <v>30060.2</v>
      </c>
    </row>
    <row r="60" spans="1:19" ht="27.75" customHeight="1" x14ac:dyDescent="0.2">
      <c r="A60" s="241">
        <v>5</v>
      </c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R60" s="12">
        <f>O60-'[1]станом на 23.02.22'!O60</f>
        <v>0</v>
      </c>
      <c r="S60" s="12">
        <f>O60-'[1]ЗМІНИ 30.11_110123'!O60</f>
        <v>-30510.2</v>
      </c>
    </row>
    <row r="61" spans="1:19" ht="19.5" customHeight="1" x14ac:dyDescent="0.2">
      <c r="A61" s="246" t="s">
        <v>26</v>
      </c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R61" s="12">
        <f>O61-'[1]станом на 23.02.22'!O61</f>
        <v>0</v>
      </c>
      <c r="S61" s="12">
        <f>O61-'[1]ЗМІНИ 30.11_110123'!O61</f>
        <v>0</v>
      </c>
    </row>
    <row r="62" spans="1:19" ht="30" customHeight="1" x14ac:dyDescent="0.2">
      <c r="A62" s="62">
        <v>1</v>
      </c>
      <c r="B62" s="62">
        <v>2</v>
      </c>
      <c r="C62" s="62">
        <v>3</v>
      </c>
      <c r="D62" s="62">
        <v>4</v>
      </c>
      <c r="E62" s="62">
        <v>5</v>
      </c>
      <c r="F62" s="62">
        <v>6</v>
      </c>
      <c r="G62" s="62">
        <v>7</v>
      </c>
      <c r="H62" s="62">
        <v>8</v>
      </c>
      <c r="I62" s="62">
        <v>9</v>
      </c>
      <c r="J62" s="62">
        <v>10</v>
      </c>
      <c r="K62" s="62">
        <v>11</v>
      </c>
      <c r="L62" s="62">
        <v>12</v>
      </c>
      <c r="M62" s="62">
        <v>13</v>
      </c>
      <c r="N62" s="62">
        <v>14</v>
      </c>
      <c r="O62" s="62">
        <v>15</v>
      </c>
      <c r="R62" s="12">
        <f>O62-'[1]станом на 23.02.22'!O62</f>
        <v>0</v>
      </c>
      <c r="S62" s="12">
        <f>O62-'[1]ЗМІНИ 30.11_110123'!O62</f>
        <v>15</v>
      </c>
    </row>
    <row r="63" spans="1:19" ht="78" customHeight="1" x14ac:dyDescent="0.2">
      <c r="A63" s="36"/>
      <c r="B63" s="30"/>
      <c r="C63" s="39" t="s">
        <v>56</v>
      </c>
      <c r="D63" s="59" t="s">
        <v>46</v>
      </c>
      <c r="E63" s="36"/>
      <c r="F63" s="60" t="s">
        <v>15</v>
      </c>
      <c r="G63" s="11">
        <v>0</v>
      </c>
      <c r="H63" s="11">
        <v>0</v>
      </c>
      <c r="I63" s="11">
        <v>0</v>
      </c>
      <c r="J63" s="11">
        <v>7900</v>
      </c>
      <c r="K63" s="11">
        <v>6611.6</v>
      </c>
      <c r="L63" s="11">
        <v>10000</v>
      </c>
      <c r="M63" s="11">
        <f>14000-2149.3</f>
        <v>11850.7</v>
      </c>
      <c r="N63" s="11">
        <f>20000-10000</f>
        <v>10000</v>
      </c>
      <c r="O63" s="11">
        <f>SUM(G63:N63)</f>
        <v>46362.3</v>
      </c>
      <c r="R63" s="12">
        <f>O63-'[1]станом на 23.02.22'!O63</f>
        <v>-12149.299999999996</v>
      </c>
      <c r="S63" s="12">
        <f>O63-'[1]ЗМІНИ 30.11_110123'!O63</f>
        <v>46347.3</v>
      </c>
    </row>
    <row r="64" spans="1:19" ht="69.75" customHeight="1" x14ac:dyDescent="0.2">
      <c r="A64" s="36"/>
      <c r="B64" s="30"/>
      <c r="C64" s="63" t="s">
        <v>57</v>
      </c>
      <c r="D64" s="64" t="s">
        <v>46</v>
      </c>
      <c r="E64" s="36"/>
      <c r="F64" s="65" t="s">
        <v>15</v>
      </c>
      <c r="G64" s="66">
        <v>0</v>
      </c>
      <c r="H64" s="66">
        <v>0</v>
      </c>
      <c r="I64" s="66">
        <v>0</v>
      </c>
      <c r="J64" s="66">
        <v>1600</v>
      </c>
      <c r="K64" s="66">
        <v>5500</v>
      </c>
      <c r="L64" s="66">
        <f>7600-3900</f>
        <v>3700</v>
      </c>
      <c r="M64" s="66">
        <f>8360-8360</f>
        <v>0</v>
      </c>
      <c r="N64" s="66">
        <f>9200-9200</f>
        <v>0</v>
      </c>
      <c r="O64" s="66">
        <f t="shared" si="0"/>
        <v>10800</v>
      </c>
      <c r="R64" s="12">
        <f>O64-'[1]станом на 23.02.22'!O64</f>
        <v>0</v>
      </c>
      <c r="S64" s="12">
        <f>O64-'[1]ЗМІНИ 30.11_110123'!O64</f>
        <v>-35562.300000000003</v>
      </c>
    </row>
    <row r="65" spans="1:19" ht="81" customHeight="1" x14ac:dyDescent="0.2">
      <c r="A65" s="36"/>
      <c r="B65" s="42"/>
      <c r="C65" s="17" t="s">
        <v>58</v>
      </c>
      <c r="D65" s="10" t="s">
        <v>46</v>
      </c>
      <c r="E65" s="29"/>
      <c r="F65" s="10" t="s">
        <v>15</v>
      </c>
      <c r="G65" s="11">
        <v>0</v>
      </c>
      <c r="H65" s="18">
        <v>0</v>
      </c>
      <c r="I65" s="18">
        <v>0</v>
      </c>
      <c r="J65" s="18">
        <v>6000</v>
      </c>
      <c r="K65" s="18">
        <v>13000</v>
      </c>
      <c r="L65" s="18">
        <v>1260</v>
      </c>
      <c r="M65" s="18">
        <v>1385</v>
      </c>
      <c r="N65" s="18">
        <v>1525</v>
      </c>
      <c r="O65" s="11">
        <f t="shared" si="0"/>
        <v>23170</v>
      </c>
      <c r="R65" s="12">
        <f>O65-'[1]станом на 23.02.22'!O65</f>
        <v>0</v>
      </c>
      <c r="S65" s="12">
        <f>O65-'[1]ЗМІНИ 30.11_110123'!O65</f>
        <v>12370</v>
      </c>
    </row>
    <row r="66" spans="1:19" ht="110.25" customHeight="1" x14ac:dyDescent="0.2">
      <c r="A66" s="255"/>
      <c r="B66" s="42"/>
      <c r="C66" s="17" t="s">
        <v>59</v>
      </c>
      <c r="D66" s="10" t="s">
        <v>46</v>
      </c>
      <c r="E66" s="29"/>
      <c r="F66" s="10" t="s">
        <v>15</v>
      </c>
      <c r="G66" s="11">
        <v>0</v>
      </c>
      <c r="H66" s="18">
        <v>0</v>
      </c>
      <c r="I66" s="18">
        <v>0</v>
      </c>
      <c r="J66" s="18">
        <v>2500</v>
      </c>
      <c r="K66" s="18">
        <v>7500</v>
      </c>
      <c r="L66" s="18">
        <v>1835.7</v>
      </c>
      <c r="M66" s="18">
        <f>8500</f>
        <v>8500</v>
      </c>
      <c r="N66" s="18">
        <v>0</v>
      </c>
      <c r="O66" s="11">
        <f t="shared" si="0"/>
        <v>20335.7</v>
      </c>
      <c r="R66" s="12">
        <f>O66-'[1]станом на 23.02.22'!O66</f>
        <v>0</v>
      </c>
      <c r="S66" s="12">
        <f>O66-'[1]ЗМІНИ 30.11_110123'!O66</f>
        <v>-2834.2999999999993</v>
      </c>
    </row>
    <row r="67" spans="1:19" ht="130.5" customHeight="1" x14ac:dyDescent="0.2">
      <c r="A67" s="249"/>
      <c r="B67" s="42"/>
      <c r="C67" s="17" t="s">
        <v>60</v>
      </c>
      <c r="D67" s="10" t="s">
        <v>46</v>
      </c>
      <c r="E67" s="29"/>
      <c r="F67" s="10" t="s">
        <v>15</v>
      </c>
      <c r="G67" s="11">
        <v>0</v>
      </c>
      <c r="H67" s="18">
        <v>0</v>
      </c>
      <c r="I67" s="18">
        <v>0</v>
      </c>
      <c r="J67" s="18">
        <v>0</v>
      </c>
      <c r="K67" s="18">
        <v>1000</v>
      </c>
      <c r="L67" s="18">
        <v>10000</v>
      </c>
      <c r="M67" s="18">
        <f>10000-8500</f>
        <v>1500</v>
      </c>
      <c r="N67" s="18">
        <v>0</v>
      </c>
      <c r="O67" s="11">
        <f t="shared" si="0"/>
        <v>12500</v>
      </c>
      <c r="R67" s="12">
        <f>O67-'[1]станом на 23.02.22'!O67</f>
        <v>0</v>
      </c>
      <c r="S67" s="12">
        <f>O67-'[1]ЗМІНИ 30.11_110123'!O67</f>
        <v>-7835.7000000000007</v>
      </c>
    </row>
    <row r="68" spans="1:19" ht="70.5" customHeight="1" x14ac:dyDescent="0.2">
      <c r="A68" s="36"/>
      <c r="B68" s="42"/>
      <c r="C68" s="17" t="s">
        <v>61</v>
      </c>
      <c r="D68" s="10" t="s">
        <v>62</v>
      </c>
      <c r="E68" s="29"/>
      <c r="F68" s="10" t="s">
        <v>15</v>
      </c>
      <c r="G68" s="11">
        <v>0</v>
      </c>
      <c r="H68" s="18">
        <v>0</v>
      </c>
      <c r="I68" s="18">
        <v>0</v>
      </c>
      <c r="J68" s="18">
        <v>0</v>
      </c>
      <c r="K68" s="18">
        <v>7950</v>
      </c>
      <c r="L68" s="18">
        <v>0</v>
      </c>
      <c r="M68" s="18">
        <v>0</v>
      </c>
      <c r="N68" s="18">
        <v>0</v>
      </c>
      <c r="O68" s="11">
        <f t="shared" si="0"/>
        <v>7950</v>
      </c>
      <c r="R68" s="12">
        <f>O68-'[1]станом на 23.02.22'!O68</f>
        <v>0</v>
      </c>
      <c r="S68" s="12">
        <f>O68-'[1]ЗМІНИ 30.11_110123'!O68</f>
        <v>-4550</v>
      </c>
    </row>
    <row r="69" spans="1:19" ht="71.25" customHeight="1" x14ac:dyDescent="0.2">
      <c r="A69" s="36"/>
      <c r="B69" s="42"/>
      <c r="C69" s="17" t="s">
        <v>63</v>
      </c>
      <c r="D69" s="10" t="s">
        <v>46</v>
      </c>
      <c r="E69" s="29"/>
      <c r="F69" s="10" t="s">
        <v>15</v>
      </c>
      <c r="G69" s="11">
        <v>0</v>
      </c>
      <c r="H69" s="18">
        <v>0</v>
      </c>
      <c r="I69" s="18">
        <v>0</v>
      </c>
      <c r="J69" s="18">
        <v>0</v>
      </c>
      <c r="K69" s="18">
        <v>1000</v>
      </c>
      <c r="L69" s="18">
        <v>10000</v>
      </c>
      <c r="M69" s="18">
        <f>4000-2250</f>
        <v>1750</v>
      </c>
      <c r="N69" s="18">
        <v>0</v>
      </c>
      <c r="O69" s="11">
        <f t="shared" si="0"/>
        <v>12750</v>
      </c>
      <c r="R69" s="12">
        <f>O69-'[1]станом на 23.02.22'!O69</f>
        <v>0</v>
      </c>
      <c r="S69" s="12">
        <f>O69-'[1]ЗМІНИ 30.11_110123'!O69</f>
        <v>4800</v>
      </c>
    </row>
    <row r="70" spans="1:19" ht="82.5" customHeight="1" x14ac:dyDescent="0.2">
      <c r="A70" s="36"/>
      <c r="B70" s="42"/>
      <c r="C70" s="17" t="s">
        <v>64</v>
      </c>
      <c r="D70" s="10" t="s">
        <v>65</v>
      </c>
      <c r="E70" s="19"/>
      <c r="F70" s="10" t="s">
        <v>15</v>
      </c>
      <c r="G70" s="11">
        <v>0</v>
      </c>
      <c r="H70" s="18">
        <v>0</v>
      </c>
      <c r="I70" s="18">
        <v>0</v>
      </c>
      <c r="J70" s="18">
        <v>0</v>
      </c>
      <c r="K70" s="18">
        <v>0</v>
      </c>
      <c r="L70" s="18">
        <v>2000</v>
      </c>
      <c r="M70" s="18">
        <v>7000</v>
      </c>
      <c r="N70" s="18">
        <v>10000</v>
      </c>
      <c r="O70" s="11">
        <f t="shared" si="0"/>
        <v>19000</v>
      </c>
      <c r="R70" s="12">
        <f>O70-'[1]станом на 23.02.22'!O70</f>
        <v>0</v>
      </c>
      <c r="S70" s="12">
        <f>O70-'[1]ЗМІНИ 30.11_110123'!O70</f>
        <v>6250</v>
      </c>
    </row>
    <row r="71" spans="1:19" ht="109.5" customHeight="1" x14ac:dyDescent="0.2">
      <c r="A71" s="57"/>
      <c r="B71" s="58"/>
      <c r="C71" s="22" t="s">
        <v>66</v>
      </c>
      <c r="D71" s="23" t="s">
        <v>65</v>
      </c>
      <c r="E71" s="67"/>
      <c r="F71" s="23" t="s">
        <v>15</v>
      </c>
      <c r="G71" s="11">
        <v>0</v>
      </c>
      <c r="H71" s="18">
        <v>0</v>
      </c>
      <c r="I71" s="18">
        <v>0</v>
      </c>
      <c r="J71" s="18">
        <v>0</v>
      </c>
      <c r="K71" s="18">
        <v>0</v>
      </c>
      <c r="L71" s="18">
        <v>2000</v>
      </c>
      <c r="M71" s="18">
        <v>2000</v>
      </c>
      <c r="N71" s="18">
        <v>0</v>
      </c>
      <c r="O71" s="11">
        <f t="shared" si="0"/>
        <v>4000</v>
      </c>
      <c r="R71" s="12">
        <f>O71-'[1]станом на 23.02.22'!O71</f>
        <v>0</v>
      </c>
      <c r="S71" s="12">
        <f>O71-'[1]ЗМІНИ 30.11_110123'!O71</f>
        <v>-15000</v>
      </c>
    </row>
    <row r="72" spans="1:19" ht="14.25" customHeight="1" x14ac:dyDescent="0.2">
      <c r="A72" s="241">
        <v>6</v>
      </c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R72" s="12">
        <f>O72-'[1]станом на 23.02.22'!O72</f>
        <v>0</v>
      </c>
      <c r="S72" s="12">
        <f>O72-'[1]ЗМІНИ 30.11_110123'!O72</f>
        <v>-4000</v>
      </c>
    </row>
    <row r="73" spans="1:19" ht="15" customHeight="1" x14ac:dyDescent="0.2">
      <c r="A73" s="246" t="s">
        <v>26</v>
      </c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R73" s="12">
        <f>O73-'[1]станом на 23.02.22'!O73</f>
        <v>0</v>
      </c>
      <c r="S73" s="12">
        <f>O73-'[1]ЗМІНИ 30.11_110123'!O73</f>
        <v>0</v>
      </c>
    </row>
    <row r="74" spans="1:19" ht="17.25" customHeight="1" x14ac:dyDescent="0.2">
      <c r="A74" s="25">
        <v>1</v>
      </c>
      <c r="B74" s="26">
        <v>2</v>
      </c>
      <c r="C74" s="27">
        <v>3</v>
      </c>
      <c r="D74" s="7">
        <v>4</v>
      </c>
      <c r="E74" s="7">
        <v>5</v>
      </c>
      <c r="F74" s="7">
        <v>6</v>
      </c>
      <c r="G74" s="7">
        <v>7</v>
      </c>
      <c r="H74" s="7">
        <v>8</v>
      </c>
      <c r="I74" s="7">
        <v>9</v>
      </c>
      <c r="J74" s="7">
        <v>10</v>
      </c>
      <c r="K74" s="7">
        <v>11</v>
      </c>
      <c r="L74" s="7">
        <v>12</v>
      </c>
      <c r="M74" s="7">
        <v>13</v>
      </c>
      <c r="N74" s="7">
        <v>14</v>
      </c>
      <c r="O74" s="7">
        <v>15</v>
      </c>
      <c r="R74" s="12">
        <f>O74-'[1]станом на 23.02.22'!O74</f>
        <v>0</v>
      </c>
      <c r="S74" s="12">
        <f>O74-'[1]ЗМІНИ 30.11_110123'!O74</f>
        <v>15</v>
      </c>
    </row>
    <row r="75" spans="1:19" ht="110.25" customHeight="1" x14ac:dyDescent="0.2">
      <c r="A75" s="36"/>
      <c r="B75" s="68"/>
      <c r="C75" s="28" t="s">
        <v>67</v>
      </c>
      <c r="D75" s="10" t="s">
        <v>65</v>
      </c>
      <c r="E75" s="19"/>
      <c r="F75" s="10" t="s">
        <v>15</v>
      </c>
      <c r="G75" s="11">
        <v>0</v>
      </c>
      <c r="H75" s="18">
        <v>0</v>
      </c>
      <c r="I75" s="18">
        <v>0</v>
      </c>
      <c r="J75" s="18">
        <v>0</v>
      </c>
      <c r="K75" s="18">
        <v>0</v>
      </c>
      <c r="L75" s="18">
        <v>2000</v>
      </c>
      <c r="M75" s="18">
        <v>2000</v>
      </c>
      <c r="N75" s="18">
        <v>0</v>
      </c>
      <c r="O75" s="11">
        <f t="shared" si="0"/>
        <v>4000</v>
      </c>
      <c r="R75" s="12">
        <f>O75-'[1]станом на 23.02.22'!O75</f>
        <v>0</v>
      </c>
      <c r="S75" s="12">
        <f>O75-'[1]ЗМІНИ 30.11_110123'!O75</f>
        <v>3985</v>
      </c>
    </row>
    <row r="76" spans="1:19" ht="69.75" customHeight="1" x14ac:dyDescent="0.2">
      <c r="A76" s="36"/>
      <c r="B76" s="68"/>
      <c r="C76" s="28" t="s">
        <v>68</v>
      </c>
      <c r="D76" s="10" t="s">
        <v>65</v>
      </c>
      <c r="E76" s="19"/>
      <c r="F76" s="10" t="s">
        <v>15</v>
      </c>
      <c r="G76" s="11">
        <v>0</v>
      </c>
      <c r="H76" s="18">
        <v>0</v>
      </c>
      <c r="I76" s="18">
        <v>0</v>
      </c>
      <c r="J76" s="18">
        <v>0</v>
      </c>
      <c r="K76" s="18">
        <v>0</v>
      </c>
      <c r="L76" s="18">
        <f>500+1000</f>
        <v>1500</v>
      </c>
      <c r="M76" s="18">
        <v>1000</v>
      </c>
      <c r="N76" s="18">
        <v>1500</v>
      </c>
      <c r="O76" s="11">
        <f t="shared" si="0"/>
        <v>4000</v>
      </c>
      <c r="R76" s="12">
        <f>O76-'[1]станом на 23.02.22'!O76</f>
        <v>0</v>
      </c>
      <c r="S76" s="12">
        <f>O76-'[1]ЗМІНИ 30.11_110123'!O76</f>
        <v>0</v>
      </c>
    </row>
    <row r="77" spans="1:19" ht="79.5" customHeight="1" x14ac:dyDescent="0.2">
      <c r="A77" s="36"/>
      <c r="B77" s="256"/>
      <c r="C77" s="28" t="s">
        <v>69</v>
      </c>
      <c r="D77" s="10" t="s">
        <v>65</v>
      </c>
      <c r="E77" s="19"/>
      <c r="F77" s="10" t="s">
        <v>15</v>
      </c>
      <c r="G77" s="11">
        <v>0</v>
      </c>
      <c r="H77" s="18">
        <v>0</v>
      </c>
      <c r="I77" s="18">
        <v>0</v>
      </c>
      <c r="J77" s="18">
        <v>0</v>
      </c>
      <c r="K77" s="18">
        <v>0</v>
      </c>
      <c r="L77" s="18">
        <v>1000</v>
      </c>
      <c r="M77" s="18">
        <v>3000</v>
      </c>
      <c r="N77" s="18">
        <f>3000-3000</f>
        <v>0</v>
      </c>
      <c r="O77" s="11">
        <f t="shared" si="0"/>
        <v>4000</v>
      </c>
      <c r="R77" s="12">
        <f>O77-'[1]станом на 23.02.22'!O77</f>
        <v>-3000</v>
      </c>
      <c r="S77" s="12">
        <f>O77-'[1]ЗМІНИ 30.11_110123'!O77</f>
        <v>0</v>
      </c>
    </row>
    <row r="78" spans="1:19" ht="72.75" customHeight="1" x14ac:dyDescent="0.2">
      <c r="A78" s="255"/>
      <c r="B78" s="249"/>
      <c r="C78" s="28" t="s">
        <v>70</v>
      </c>
      <c r="D78" s="10" t="s">
        <v>65</v>
      </c>
      <c r="E78" s="19"/>
      <c r="F78" s="10" t="s">
        <v>15</v>
      </c>
      <c r="G78" s="11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6500</v>
      </c>
      <c r="N78" s="18">
        <v>0</v>
      </c>
      <c r="O78" s="11">
        <f t="shared" si="0"/>
        <v>6500</v>
      </c>
      <c r="R78" s="12">
        <f>O78-'[1]станом на 23.02.22'!O78</f>
        <v>0</v>
      </c>
      <c r="S78" s="12">
        <f>O78-'[1]ЗМІНИ 30.11_110123'!O78</f>
        <v>2500</v>
      </c>
    </row>
    <row r="79" spans="1:19" ht="69" customHeight="1" x14ac:dyDescent="0.2">
      <c r="A79" s="249"/>
      <c r="B79" s="249"/>
      <c r="C79" s="28" t="s">
        <v>71</v>
      </c>
      <c r="D79" s="10" t="s">
        <v>65</v>
      </c>
      <c r="E79" s="19"/>
      <c r="F79" s="10" t="s">
        <v>15</v>
      </c>
      <c r="G79" s="11">
        <v>0</v>
      </c>
      <c r="H79" s="18">
        <v>0</v>
      </c>
      <c r="I79" s="18">
        <v>0</v>
      </c>
      <c r="J79" s="18">
        <v>0</v>
      </c>
      <c r="K79" s="18">
        <v>0</v>
      </c>
      <c r="L79" s="18">
        <f>10000-2100</f>
        <v>7900</v>
      </c>
      <c r="M79" s="18">
        <v>0</v>
      </c>
      <c r="N79" s="18">
        <v>0</v>
      </c>
      <c r="O79" s="11">
        <f t="shared" si="0"/>
        <v>7900</v>
      </c>
      <c r="R79" s="12">
        <f>O79-'[1]станом на 23.02.22'!O79</f>
        <v>0</v>
      </c>
      <c r="S79" s="12">
        <f>O79-'[1]ЗМІНИ 30.11_110123'!O79</f>
        <v>1400</v>
      </c>
    </row>
    <row r="80" spans="1:19" ht="70.5" customHeight="1" x14ac:dyDescent="0.2">
      <c r="A80" s="13"/>
      <c r="B80" s="30"/>
      <c r="C80" s="28" t="s">
        <v>72</v>
      </c>
      <c r="D80" s="10" t="s">
        <v>65</v>
      </c>
      <c r="E80" s="19"/>
      <c r="F80" s="10" t="s">
        <v>15</v>
      </c>
      <c r="G80" s="11">
        <v>0</v>
      </c>
      <c r="H80" s="18">
        <v>0</v>
      </c>
      <c r="I80" s="18">
        <v>0</v>
      </c>
      <c r="J80" s="18">
        <v>0</v>
      </c>
      <c r="K80" s="18">
        <v>0</v>
      </c>
      <c r="L80" s="18">
        <v>51559</v>
      </c>
      <c r="M80" s="18">
        <v>50074</v>
      </c>
      <c r="N80" s="18">
        <v>51535</v>
      </c>
      <c r="O80" s="11">
        <f t="shared" si="0"/>
        <v>153168</v>
      </c>
      <c r="R80" s="12">
        <f>O80-'[1]станом на 23.02.22'!O80</f>
        <v>0</v>
      </c>
      <c r="S80" s="12">
        <f>O80-'[1]ЗМІНИ 30.11_110123'!O80</f>
        <v>145268</v>
      </c>
    </row>
    <row r="81" spans="1:19" ht="34.5" hidden="1" customHeight="1" x14ac:dyDescent="0.2">
      <c r="A81" s="13"/>
      <c r="B81" s="30"/>
      <c r="C81" s="28" t="s">
        <v>73</v>
      </c>
      <c r="D81" s="10" t="s">
        <v>65</v>
      </c>
      <c r="E81" s="19"/>
      <c r="F81" s="10" t="s">
        <v>74</v>
      </c>
      <c r="G81" s="11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1">
        <f t="shared" si="0"/>
        <v>0</v>
      </c>
      <c r="R81" s="12">
        <f>O81-'[1]станом на 23.02.22'!O81</f>
        <v>0</v>
      </c>
      <c r="S81" s="12">
        <f>O81-'[1]ЗМІНИ 30.11_110123'!O81</f>
        <v>-153168</v>
      </c>
    </row>
    <row r="82" spans="1:19" ht="66.75" customHeight="1" x14ac:dyDescent="0.2">
      <c r="A82" s="13"/>
      <c r="B82" s="30"/>
      <c r="C82" s="28" t="s">
        <v>75</v>
      </c>
      <c r="D82" s="51" t="s">
        <v>65</v>
      </c>
      <c r="E82" s="69"/>
      <c r="F82" s="46" t="s">
        <v>15</v>
      </c>
      <c r="G82" s="11">
        <v>0</v>
      </c>
      <c r="H82" s="18">
        <v>0</v>
      </c>
      <c r="I82" s="18">
        <v>0</v>
      </c>
      <c r="J82" s="18">
        <v>0</v>
      </c>
      <c r="K82" s="18">
        <v>0</v>
      </c>
      <c r="L82" s="18">
        <f>307183.1-2334.6</f>
        <v>304848.5</v>
      </c>
      <c r="M82" s="70">
        <f>361442.2-1000</f>
        <v>360442.2</v>
      </c>
      <c r="N82" s="71">
        <v>449833.8</v>
      </c>
      <c r="O82" s="11">
        <f>SUM(G82:N82)</f>
        <v>1115124.5</v>
      </c>
      <c r="P82" s="1">
        <f>241081.7-4606.7-11410.7-1283.9</f>
        <v>223780.4</v>
      </c>
      <c r="R82" s="12">
        <f>O82-'[1]станом на 23.02.22'!O82</f>
        <v>0</v>
      </c>
      <c r="S82" s="12">
        <f>O82-'[1]ЗМІНИ 30.11_110123'!O82</f>
        <v>1115124.5</v>
      </c>
    </row>
    <row r="83" spans="1:19" ht="69.75" customHeight="1" x14ac:dyDescent="0.2">
      <c r="A83" s="13"/>
      <c r="B83" s="30"/>
      <c r="C83" s="28" t="s">
        <v>76</v>
      </c>
      <c r="D83" s="51" t="s">
        <v>65</v>
      </c>
      <c r="E83" s="69"/>
      <c r="F83" s="46" t="s">
        <v>15</v>
      </c>
      <c r="G83" s="11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71">
        <v>2250</v>
      </c>
      <c r="N83" s="71">
        <v>0</v>
      </c>
      <c r="O83" s="11">
        <f>SUM(G83:N83)</f>
        <v>2250</v>
      </c>
      <c r="P83" s="1">
        <f>236295.5-4568.1-11064.2-1281.5</f>
        <v>219381.69999999998</v>
      </c>
      <c r="R83" s="12">
        <f>O83-'[1]станом на 23.02.22'!O83</f>
        <v>0</v>
      </c>
      <c r="S83" s="12">
        <f>O83-'[1]ЗМІНИ 30.11_110123'!O83</f>
        <v>-1112874.5</v>
      </c>
    </row>
    <row r="84" spans="1:19" ht="72" customHeight="1" x14ac:dyDescent="0.2">
      <c r="A84" s="13"/>
      <c r="B84" s="30"/>
      <c r="C84" s="28" t="s">
        <v>77</v>
      </c>
      <c r="D84" s="51" t="s">
        <v>78</v>
      </c>
      <c r="E84" s="69"/>
      <c r="F84" s="46" t="s">
        <v>15</v>
      </c>
      <c r="G84" s="11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1">
        <f>72927.1+5360+16000</f>
        <v>94287.1</v>
      </c>
      <c r="N84" s="11">
        <f>87444.4+18000+9200+4235-2850.5+3000</f>
        <v>119028.9</v>
      </c>
      <c r="O84" s="11">
        <f>SUM(G84:N84)</f>
        <v>213316</v>
      </c>
      <c r="P84" s="1">
        <f>808468.2-777468.2</f>
        <v>31000</v>
      </c>
      <c r="R84" s="12">
        <f>O84-'[1]станом на 23.02.22'!O84</f>
        <v>149.5</v>
      </c>
      <c r="S84" s="12">
        <f>O84-'[1]ЗМІНИ 30.11_110123'!O84</f>
        <v>211066</v>
      </c>
    </row>
    <row r="85" spans="1:19" ht="66" customHeight="1" x14ac:dyDescent="0.2">
      <c r="A85" s="13"/>
      <c r="B85" s="30"/>
      <c r="C85" s="28" t="s">
        <v>79</v>
      </c>
      <c r="D85" s="51">
        <v>2022</v>
      </c>
      <c r="E85" s="69"/>
      <c r="F85" s="46" t="s">
        <v>15</v>
      </c>
      <c r="G85" s="11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1">
        <v>1000</v>
      </c>
      <c r="N85" s="11">
        <v>0</v>
      </c>
      <c r="O85" s="11">
        <f>SUM(G85:N85)</f>
        <v>1000</v>
      </c>
      <c r="R85" s="12">
        <f>O85-'[1]станом на 23.02.22'!O85</f>
        <v>0</v>
      </c>
      <c r="S85" s="12">
        <f>O85-'[1]ЗМІНИ 30.11_110123'!O85</f>
        <v>-212316</v>
      </c>
    </row>
    <row r="86" spans="1:19" ht="66.75" customHeight="1" x14ac:dyDescent="0.2">
      <c r="A86" s="13"/>
      <c r="B86" s="30"/>
      <c r="C86" s="28" t="s">
        <v>80</v>
      </c>
      <c r="D86" s="51">
        <v>2023</v>
      </c>
      <c r="E86" s="69"/>
      <c r="F86" s="46" t="s">
        <v>15</v>
      </c>
      <c r="G86" s="11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1">
        <v>0</v>
      </c>
      <c r="N86" s="11">
        <v>150000</v>
      </c>
      <c r="O86" s="11">
        <f>SUM(G86:N86)</f>
        <v>150000</v>
      </c>
      <c r="R86" s="12">
        <f>O86-'[1]станом на 23.02.22'!O86</f>
        <v>150000</v>
      </c>
      <c r="S86" s="12">
        <f>O86-'[1]ЗМІНИ 30.11_110123'!O86</f>
        <v>149000</v>
      </c>
    </row>
    <row r="87" spans="1:19" ht="65.25" customHeight="1" x14ac:dyDescent="0.2">
      <c r="A87" s="257" t="s">
        <v>81</v>
      </c>
      <c r="B87" s="258"/>
      <c r="C87" s="72"/>
      <c r="D87" s="73"/>
      <c r="E87" s="74"/>
      <c r="F87" s="23" t="s">
        <v>15</v>
      </c>
      <c r="G87" s="75">
        <f t="shared" ref="G87:M87" si="2">G12+G15+G16+G17+G18+G19+G20+G21+G22+G26+G27+G28+G29+G30+G31+G32+G33+G34+G38+G39+G40+G41+G42+G46+G47+G48+G49+G50++G63+G70+G71+G75+G76+G77+G78+G79+G80+G82+G84+G59+G64+G65+G66+G67+G68+G69+G86+G83+G85</f>
        <v>115838.47999999998</v>
      </c>
      <c r="H87" s="75">
        <f t="shared" si="2"/>
        <v>214504.09999999998</v>
      </c>
      <c r="I87" s="75">
        <f t="shared" si="2"/>
        <v>240425.5</v>
      </c>
      <c r="J87" s="75">
        <f t="shared" si="2"/>
        <v>295414.2</v>
      </c>
      <c r="K87" s="75">
        <f t="shared" si="2"/>
        <v>449477.26</v>
      </c>
      <c r="L87" s="75">
        <f t="shared" si="2"/>
        <v>628078.5</v>
      </c>
      <c r="M87" s="75">
        <f t="shared" si="2"/>
        <v>664788.30000000005</v>
      </c>
      <c r="N87" s="75">
        <f>N12+N15+N16+N17+N18+N19+N20+N21+N22+N26+N27+N28+N29+N30+N31+N32+N33+N34+N38+N39+N40+N41+N42+N46+N47+N48+N49+N50++N63+N70+N71+N75+N76+N77+N78+N79+N80+N82+N84+N59+N64+N65+N66+N67+N68+N69+N86+N83+N85</f>
        <v>854868.20000000007</v>
      </c>
      <c r="O87" s="75">
        <f>O12+O15+O16+O17+O18+O19+O20+O21+O22+O26+O27+O28+O29+O30+O31+O32+O33+O34+O38+O39+O40+O41+O42+O46+O47+O48+O49+O50++O63+O70+O71+O75+O76+O77+O78+O79+O80+O82+O84+O59+O64+O65+O66+O67+O68+O69+O86+O83+O85</f>
        <v>3463394.54</v>
      </c>
      <c r="P87" s="1">
        <f>3417429.54-3385994.54</f>
        <v>31435</v>
      </c>
      <c r="Q87" s="12">
        <f>G87+H87+I87+J87+K87+L87+M87+N87-O87</f>
        <v>0</v>
      </c>
      <c r="R87" s="12">
        <f>O87-'[1]станом на 23.02.22'!O87</f>
        <v>77400.000000000466</v>
      </c>
      <c r="S87" s="12">
        <f>O87-'[1]ЗМІНИ 30.11_110123'!O87</f>
        <v>77400</v>
      </c>
    </row>
    <row r="88" spans="1:19" ht="32.25" customHeight="1" x14ac:dyDescent="0.2">
      <c r="A88" s="241">
        <v>7</v>
      </c>
      <c r="B88" s="241"/>
      <c r="C88" s="241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1"/>
    </row>
    <row r="89" spans="1:19" ht="28.5" customHeight="1" x14ac:dyDescent="0.2">
      <c r="A89" s="246" t="s">
        <v>26</v>
      </c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</row>
    <row r="90" spans="1:19" ht="34.5" customHeight="1" x14ac:dyDescent="0.2">
      <c r="A90" s="76">
        <v>1</v>
      </c>
      <c r="B90" s="77">
        <v>2</v>
      </c>
      <c r="C90" s="78">
        <v>3</v>
      </c>
      <c r="D90" s="78">
        <v>4</v>
      </c>
      <c r="E90" s="78">
        <v>5</v>
      </c>
      <c r="F90" s="7">
        <v>6</v>
      </c>
      <c r="G90" s="7">
        <v>7</v>
      </c>
      <c r="H90" s="7">
        <v>8</v>
      </c>
      <c r="I90" s="7">
        <v>9</v>
      </c>
      <c r="J90" s="7">
        <v>10</v>
      </c>
      <c r="K90" s="7">
        <v>11</v>
      </c>
      <c r="L90" s="7">
        <v>12</v>
      </c>
      <c r="M90" s="7">
        <v>13</v>
      </c>
      <c r="N90" s="7">
        <v>14</v>
      </c>
      <c r="O90" s="7">
        <v>15</v>
      </c>
    </row>
    <row r="91" spans="1:19" ht="71.25" customHeight="1" x14ac:dyDescent="0.2">
      <c r="A91" s="79">
        <v>2</v>
      </c>
      <c r="B91" s="259" t="s">
        <v>82</v>
      </c>
      <c r="C91" s="80" t="s">
        <v>83</v>
      </c>
      <c r="D91" s="64" t="s">
        <v>13</v>
      </c>
      <c r="E91" s="260" t="s">
        <v>84</v>
      </c>
      <c r="F91" s="46" t="s">
        <v>15</v>
      </c>
      <c r="G91" s="11">
        <v>134514.32</v>
      </c>
      <c r="H91" s="11">
        <f>146683.2+8661.9</f>
        <v>155345.1</v>
      </c>
      <c r="I91" s="11">
        <v>209068.1</v>
      </c>
      <c r="J91" s="11">
        <v>224749.2</v>
      </c>
      <c r="K91" s="11">
        <v>310495.3</v>
      </c>
      <c r="L91" s="11">
        <f>24514+5642.2</f>
        <v>30156.2</v>
      </c>
      <c r="M91" s="11">
        <v>0</v>
      </c>
      <c r="N91" s="11">
        <v>0</v>
      </c>
      <c r="O91" s="11">
        <f t="shared" ref="O91:O154" si="3">SUM(G91:N91)</f>
        <v>1064328.22</v>
      </c>
    </row>
    <row r="92" spans="1:19" ht="88.5" customHeight="1" x14ac:dyDescent="0.2">
      <c r="A92" s="79"/>
      <c r="B92" s="259"/>
      <c r="C92" s="81" t="s">
        <v>85</v>
      </c>
      <c r="D92" s="59" t="s">
        <v>17</v>
      </c>
      <c r="E92" s="260"/>
      <c r="F92" s="46" t="s">
        <v>15</v>
      </c>
      <c r="G92" s="11">
        <v>3000</v>
      </c>
      <c r="H92" s="11">
        <v>12000</v>
      </c>
      <c r="I92" s="11">
        <v>3745</v>
      </c>
      <c r="J92" s="11">
        <v>8100</v>
      </c>
      <c r="K92" s="11">
        <v>9720</v>
      </c>
      <c r="L92" s="11">
        <f>0+979.5</f>
        <v>979.5</v>
      </c>
      <c r="M92" s="11">
        <v>0</v>
      </c>
      <c r="N92" s="11">
        <v>0</v>
      </c>
      <c r="O92" s="11">
        <f t="shared" si="3"/>
        <v>37544.5</v>
      </c>
    </row>
    <row r="93" spans="1:19" ht="86.25" customHeight="1" x14ac:dyDescent="0.2">
      <c r="A93" s="79"/>
      <c r="B93" s="30"/>
      <c r="C93" s="82" t="s">
        <v>86</v>
      </c>
      <c r="D93" s="51" t="s">
        <v>20</v>
      </c>
      <c r="E93" s="36" t="s">
        <v>87</v>
      </c>
      <c r="F93" s="46" t="s">
        <v>15</v>
      </c>
      <c r="G93" s="18">
        <v>0</v>
      </c>
      <c r="H93" s="11">
        <f>498.2+2700</f>
        <v>3198.2</v>
      </c>
      <c r="I93" s="11">
        <v>0</v>
      </c>
      <c r="J93" s="11">
        <v>2200</v>
      </c>
      <c r="K93" s="11">
        <v>5500</v>
      </c>
      <c r="L93" s="11">
        <v>0</v>
      </c>
      <c r="M93" s="11">
        <v>0</v>
      </c>
      <c r="N93" s="11">
        <v>0</v>
      </c>
      <c r="O93" s="11">
        <f t="shared" si="3"/>
        <v>10898.2</v>
      </c>
    </row>
    <row r="94" spans="1:19" ht="80.25" customHeight="1" x14ac:dyDescent="0.2">
      <c r="A94" s="69"/>
      <c r="B94" s="83"/>
      <c r="C94" s="82" t="s">
        <v>88</v>
      </c>
      <c r="D94" s="51" t="s">
        <v>17</v>
      </c>
      <c r="E94" s="36"/>
      <c r="F94" s="10" t="s">
        <v>15</v>
      </c>
      <c r="G94" s="11">
        <v>909</v>
      </c>
      <c r="H94" s="11">
        <v>1500</v>
      </c>
      <c r="I94" s="11">
        <v>1700</v>
      </c>
      <c r="J94" s="11">
        <v>1354.7</v>
      </c>
      <c r="K94" s="11">
        <v>1339.3</v>
      </c>
      <c r="L94" s="11">
        <f>0+564</f>
        <v>564</v>
      </c>
      <c r="M94" s="11">
        <v>0</v>
      </c>
      <c r="N94" s="11">
        <v>0</v>
      </c>
      <c r="O94" s="11">
        <f t="shared" si="3"/>
        <v>7367</v>
      </c>
    </row>
    <row r="95" spans="1:19" ht="112.5" customHeight="1" x14ac:dyDescent="0.2">
      <c r="A95" s="69"/>
      <c r="B95" s="83"/>
      <c r="C95" s="84" t="s">
        <v>89</v>
      </c>
      <c r="D95" s="51" t="s">
        <v>17</v>
      </c>
      <c r="E95" s="36"/>
      <c r="F95" s="10" t="s">
        <v>15</v>
      </c>
      <c r="G95" s="18">
        <v>0</v>
      </c>
      <c r="H95" s="18">
        <v>0</v>
      </c>
      <c r="I95" s="18">
        <v>0</v>
      </c>
      <c r="J95" s="11">
        <v>12867</v>
      </c>
      <c r="K95" s="18">
        <v>0</v>
      </c>
      <c r="L95" s="18">
        <v>0</v>
      </c>
      <c r="M95" s="18">
        <v>16000</v>
      </c>
      <c r="N95" s="18">
        <v>0</v>
      </c>
      <c r="O95" s="11">
        <f t="shared" si="3"/>
        <v>28867</v>
      </c>
    </row>
    <row r="96" spans="1:19" ht="84.75" customHeight="1" x14ac:dyDescent="0.2">
      <c r="A96" s="69"/>
      <c r="B96" s="83"/>
      <c r="C96" s="84" t="s">
        <v>90</v>
      </c>
      <c r="D96" s="51" t="s">
        <v>17</v>
      </c>
      <c r="E96" s="85"/>
      <c r="F96" s="10" t="s">
        <v>15</v>
      </c>
      <c r="G96" s="18">
        <v>0</v>
      </c>
      <c r="H96" s="11">
        <v>16000</v>
      </c>
      <c r="I96" s="18">
        <v>0</v>
      </c>
      <c r="J96" s="18">
        <v>0</v>
      </c>
      <c r="K96" s="18">
        <v>7218</v>
      </c>
      <c r="L96" s="18">
        <v>20000</v>
      </c>
      <c r="M96" s="18">
        <v>0</v>
      </c>
      <c r="N96" s="18">
        <v>0</v>
      </c>
      <c r="O96" s="11">
        <f t="shared" si="3"/>
        <v>43218</v>
      </c>
    </row>
    <row r="97" spans="1:15" ht="168.75" customHeight="1" x14ac:dyDescent="0.2">
      <c r="A97" s="69"/>
      <c r="B97" s="86"/>
      <c r="C97" s="87" t="s">
        <v>91</v>
      </c>
      <c r="D97" s="10" t="s">
        <v>17</v>
      </c>
      <c r="E97" s="29"/>
      <c r="F97" s="10" t="s">
        <v>15</v>
      </c>
      <c r="G97" s="18">
        <v>0</v>
      </c>
      <c r="H97" s="11">
        <v>6000</v>
      </c>
      <c r="I97" s="18">
        <v>0</v>
      </c>
      <c r="J97" s="18">
        <v>8000</v>
      </c>
      <c r="K97" s="18">
        <v>0</v>
      </c>
      <c r="L97" s="18">
        <v>7042</v>
      </c>
      <c r="M97" s="18">
        <v>0</v>
      </c>
      <c r="N97" s="18">
        <v>0</v>
      </c>
      <c r="O97" s="11">
        <f t="shared" si="3"/>
        <v>21042</v>
      </c>
    </row>
    <row r="98" spans="1:15" ht="95.25" customHeight="1" x14ac:dyDescent="0.2">
      <c r="A98" s="88"/>
      <c r="B98" s="89"/>
      <c r="C98" s="90" t="s">
        <v>92</v>
      </c>
      <c r="D98" s="23" t="s">
        <v>20</v>
      </c>
      <c r="E98" s="24"/>
      <c r="F98" s="23" t="s">
        <v>15</v>
      </c>
      <c r="G98" s="91">
        <v>0</v>
      </c>
      <c r="H98" s="61">
        <v>143</v>
      </c>
      <c r="I98" s="11">
        <v>195</v>
      </c>
      <c r="J98" s="11">
        <v>105</v>
      </c>
      <c r="K98" s="11">
        <v>105</v>
      </c>
      <c r="L98" s="11">
        <v>0</v>
      </c>
      <c r="M98" s="11">
        <v>0</v>
      </c>
      <c r="N98" s="11">
        <v>0</v>
      </c>
      <c r="O98" s="11">
        <f t="shared" si="3"/>
        <v>548</v>
      </c>
    </row>
    <row r="99" spans="1:15" ht="33.75" customHeight="1" x14ac:dyDescent="0.2">
      <c r="A99" s="241">
        <v>8</v>
      </c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</row>
    <row r="100" spans="1:15" ht="24.75" customHeight="1" x14ac:dyDescent="0.2">
      <c r="A100" s="246" t="s">
        <v>26</v>
      </c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</row>
    <row r="101" spans="1:15" ht="32.25" customHeight="1" x14ac:dyDescent="0.2">
      <c r="A101" s="7">
        <v>1</v>
      </c>
      <c r="B101" s="7">
        <v>2</v>
      </c>
      <c r="C101" s="7">
        <v>3</v>
      </c>
      <c r="D101" s="7">
        <v>4</v>
      </c>
      <c r="E101" s="7">
        <v>5</v>
      </c>
      <c r="F101" s="7">
        <v>6</v>
      </c>
      <c r="G101" s="7">
        <v>7</v>
      </c>
      <c r="H101" s="7">
        <v>8</v>
      </c>
      <c r="I101" s="7">
        <v>9</v>
      </c>
      <c r="J101" s="7">
        <v>10</v>
      </c>
      <c r="K101" s="7">
        <v>11</v>
      </c>
      <c r="L101" s="7">
        <v>12</v>
      </c>
      <c r="M101" s="7">
        <v>13</v>
      </c>
      <c r="N101" s="7">
        <v>14</v>
      </c>
      <c r="O101" s="7">
        <v>15</v>
      </c>
    </row>
    <row r="102" spans="1:15" ht="66.75" customHeight="1" x14ac:dyDescent="0.2">
      <c r="A102" s="69"/>
      <c r="B102" s="86"/>
      <c r="C102" s="87" t="s">
        <v>93</v>
      </c>
      <c r="D102" s="10" t="s">
        <v>20</v>
      </c>
      <c r="E102" s="29"/>
      <c r="F102" s="10" t="s">
        <v>15</v>
      </c>
      <c r="G102" s="18">
        <v>0</v>
      </c>
      <c r="H102" s="11">
        <v>1530.8</v>
      </c>
      <c r="I102" s="11">
        <v>490</v>
      </c>
      <c r="J102" s="11">
        <v>890</v>
      </c>
      <c r="K102" s="11">
        <v>0</v>
      </c>
      <c r="L102" s="11">
        <v>0</v>
      </c>
      <c r="M102" s="11">
        <v>0</v>
      </c>
      <c r="N102" s="11">
        <v>0</v>
      </c>
      <c r="O102" s="11">
        <f t="shared" si="3"/>
        <v>2910.8</v>
      </c>
    </row>
    <row r="103" spans="1:15" ht="66.75" customHeight="1" x14ac:dyDescent="0.2">
      <c r="A103" s="69"/>
      <c r="B103" s="86"/>
      <c r="C103" s="87" t="s">
        <v>94</v>
      </c>
      <c r="D103" s="10" t="s">
        <v>17</v>
      </c>
      <c r="E103" s="29"/>
      <c r="F103" s="10" t="s">
        <v>15</v>
      </c>
      <c r="G103" s="18">
        <v>0</v>
      </c>
      <c r="H103" s="11">
        <v>8085</v>
      </c>
      <c r="I103" s="11">
        <v>290.89999999999998</v>
      </c>
      <c r="J103" s="11">
        <v>7367</v>
      </c>
      <c r="K103" s="11">
        <v>8499.5</v>
      </c>
      <c r="L103" s="11">
        <v>62100</v>
      </c>
      <c r="M103" s="11">
        <v>66000</v>
      </c>
      <c r="N103" s="11">
        <v>72600</v>
      </c>
      <c r="O103" s="11">
        <f t="shared" si="3"/>
        <v>224942.4</v>
      </c>
    </row>
    <row r="104" spans="1:15" ht="70.5" customHeight="1" x14ac:dyDescent="0.2">
      <c r="A104" s="69"/>
      <c r="B104" s="30"/>
      <c r="C104" s="92" t="s">
        <v>95</v>
      </c>
      <c r="D104" s="59" t="s">
        <v>20</v>
      </c>
      <c r="E104" s="36"/>
      <c r="F104" s="46" t="s">
        <v>15</v>
      </c>
      <c r="G104" s="18">
        <v>0</v>
      </c>
      <c r="H104" s="11">
        <f>552+228</f>
        <v>780</v>
      </c>
      <c r="I104" s="11">
        <f>1936+2784</f>
        <v>4720</v>
      </c>
      <c r="J104" s="11">
        <f>1936+2784</f>
        <v>4720</v>
      </c>
      <c r="K104" s="11">
        <v>4720</v>
      </c>
      <c r="L104" s="11">
        <v>0</v>
      </c>
      <c r="M104" s="11">
        <v>0</v>
      </c>
      <c r="N104" s="11">
        <v>0</v>
      </c>
      <c r="O104" s="11">
        <f t="shared" si="3"/>
        <v>14940</v>
      </c>
    </row>
    <row r="105" spans="1:15" ht="71.25" customHeight="1" x14ac:dyDescent="0.2">
      <c r="A105" s="19"/>
      <c r="B105" s="93"/>
      <c r="C105" s="87" t="s">
        <v>96</v>
      </c>
      <c r="D105" s="51" t="s">
        <v>20</v>
      </c>
      <c r="E105" s="36"/>
      <c r="F105" s="46" t="s">
        <v>15</v>
      </c>
      <c r="G105" s="18">
        <v>0</v>
      </c>
      <c r="H105" s="11">
        <v>176</v>
      </c>
      <c r="I105" s="11">
        <v>500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f t="shared" si="3"/>
        <v>676</v>
      </c>
    </row>
    <row r="106" spans="1:15" ht="138.75" customHeight="1" x14ac:dyDescent="0.2">
      <c r="A106" s="94"/>
      <c r="B106" s="95"/>
      <c r="C106" s="28" t="s">
        <v>97</v>
      </c>
      <c r="D106" s="51">
        <v>2019</v>
      </c>
      <c r="E106" s="85"/>
      <c r="F106" s="10" t="s">
        <v>15</v>
      </c>
      <c r="G106" s="18">
        <v>0</v>
      </c>
      <c r="H106" s="11">
        <v>0</v>
      </c>
      <c r="I106" s="11">
        <v>0</v>
      </c>
      <c r="J106" s="11">
        <v>240</v>
      </c>
      <c r="K106" s="11">
        <v>0</v>
      </c>
      <c r="L106" s="11">
        <v>0</v>
      </c>
      <c r="M106" s="11">
        <v>0</v>
      </c>
      <c r="N106" s="11">
        <v>0</v>
      </c>
      <c r="O106" s="11">
        <f t="shared" si="3"/>
        <v>240</v>
      </c>
    </row>
    <row r="107" spans="1:15" ht="69" customHeight="1" x14ac:dyDescent="0.2">
      <c r="A107" s="19"/>
      <c r="B107" s="93"/>
      <c r="C107" s="17" t="s">
        <v>98</v>
      </c>
      <c r="D107" s="10">
        <v>2020</v>
      </c>
      <c r="E107" s="29"/>
      <c r="F107" s="10" t="s">
        <v>15</v>
      </c>
      <c r="G107" s="18">
        <v>0</v>
      </c>
      <c r="H107" s="11">
        <v>0</v>
      </c>
      <c r="I107" s="11">
        <v>0</v>
      </c>
      <c r="J107" s="11">
        <v>0</v>
      </c>
      <c r="K107" s="11">
        <v>1334.27</v>
      </c>
      <c r="L107" s="11">
        <v>0</v>
      </c>
      <c r="M107" s="11">
        <v>0</v>
      </c>
      <c r="N107" s="11">
        <v>0</v>
      </c>
      <c r="O107" s="11">
        <f t="shared" si="3"/>
        <v>1334.27</v>
      </c>
    </row>
    <row r="108" spans="1:15" ht="67.5" customHeight="1" x14ac:dyDescent="0.2">
      <c r="A108" s="19"/>
      <c r="B108" s="93"/>
      <c r="C108" s="17" t="s">
        <v>99</v>
      </c>
      <c r="D108" s="10" t="s">
        <v>100</v>
      </c>
      <c r="E108" s="29"/>
      <c r="F108" s="10" t="s">
        <v>15</v>
      </c>
      <c r="G108" s="18">
        <v>0</v>
      </c>
      <c r="H108" s="11">
        <v>0</v>
      </c>
      <c r="I108" s="11">
        <v>0</v>
      </c>
      <c r="J108" s="11">
        <v>0</v>
      </c>
      <c r="K108" s="11">
        <v>3500</v>
      </c>
      <c r="L108" s="11">
        <f>4500</f>
        <v>4500</v>
      </c>
      <c r="M108" s="11">
        <f>0+4500</f>
        <v>4500</v>
      </c>
      <c r="N108" s="11">
        <v>4800</v>
      </c>
      <c r="O108" s="11">
        <f t="shared" si="3"/>
        <v>17300</v>
      </c>
    </row>
    <row r="109" spans="1:15" ht="120" customHeight="1" x14ac:dyDescent="0.2">
      <c r="A109" s="19"/>
      <c r="B109" s="261"/>
      <c r="C109" s="17" t="s">
        <v>101</v>
      </c>
      <c r="D109" s="10">
        <v>2019</v>
      </c>
      <c r="E109" s="29"/>
      <c r="F109" s="10" t="s">
        <v>15</v>
      </c>
      <c r="G109" s="18">
        <v>0</v>
      </c>
      <c r="H109" s="11">
        <v>0</v>
      </c>
      <c r="I109" s="11">
        <v>0</v>
      </c>
      <c r="J109" s="11">
        <v>5200</v>
      </c>
      <c r="K109" s="11">
        <v>0</v>
      </c>
      <c r="L109" s="11">
        <v>0</v>
      </c>
      <c r="M109" s="11">
        <v>0</v>
      </c>
      <c r="N109" s="11">
        <v>0</v>
      </c>
      <c r="O109" s="11">
        <f t="shared" si="3"/>
        <v>5200</v>
      </c>
    </row>
    <row r="110" spans="1:15" ht="135" customHeight="1" x14ac:dyDescent="0.2">
      <c r="A110" s="67"/>
      <c r="B110" s="262"/>
      <c r="C110" s="22" t="s">
        <v>102</v>
      </c>
      <c r="D110" s="23" t="s">
        <v>46</v>
      </c>
      <c r="E110" s="24"/>
      <c r="F110" s="23" t="s">
        <v>15</v>
      </c>
      <c r="G110" s="91">
        <v>0</v>
      </c>
      <c r="H110" s="61">
        <v>0</v>
      </c>
      <c r="I110" s="61">
        <v>0</v>
      </c>
      <c r="J110" s="11">
        <v>400</v>
      </c>
      <c r="K110" s="11">
        <v>0</v>
      </c>
      <c r="L110" s="11">
        <v>69.55</v>
      </c>
      <c r="M110" s="11">
        <v>0</v>
      </c>
      <c r="N110" s="11">
        <v>0</v>
      </c>
      <c r="O110" s="11">
        <f t="shared" si="3"/>
        <v>469.55</v>
      </c>
    </row>
    <row r="111" spans="1:15" ht="21" customHeight="1" x14ac:dyDescent="0.2">
      <c r="A111" s="241">
        <v>9</v>
      </c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</row>
    <row r="112" spans="1:15" ht="27" customHeight="1" x14ac:dyDescent="0.2">
      <c r="A112" s="246" t="s">
        <v>26</v>
      </c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</row>
    <row r="113" spans="1:15" ht="32.25" customHeight="1" x14ac:dyDescent="0.2">
      <c r="A113" s="7">
        <v>1</v>
      </c>
      <c r="B113" s="7">
        <v>2</v>
      </c>
      <c r="C113" s="7">
        <v>3</v>
      </c>
      <c r="D113" s="7">
        <v>4</v>
      </c>
      <c r="E113" s="7">
        <v>5</v>
      </c>
      <c r="F113" s="7">
        <v>6</v>
      </c>
      <c r="G113" s="7">
        <v>7</v>
      </c>
      <c r="H113" s="7">
        <v>8</v>
      </c>
      <c r="I113" s="7">
        <v>9</v>
      </c>
      <c r="J113" s="7">
        <v>10</v>
      </c>
      <c r="K113" s="7">
        <v>11</v>
      </c>
      <c r="L113" s="7">
        <v>12</v>
      </c>
      <c r="M113" s="7">
        <v>13</v>
      </c>
      <c r="N113" s="7">
        <v>14</v>
      </c>
      <c r="O113" s="7">
        <v>15</v>
      </c>
    </row>
    <row r="114" spans="1:15" ht="86.25" customHeight="1" x14ac:dyDescent="0.2">
      <c r="A114" s="19"/>
      <c r="B114" s="93"/>
      <c r="C114" s="96" t="s">
        <v>103</v>
      </c>
      <c r="D114" s="10" t="s">
        <v>62</v>
      </c>
      <c r="E114" s="29"/>
      <c r="F114" s="10" t="s">
        <v>15</v>
      </c>
      <c r="G114" s="18">
        <v>0</v>
      </c>
      <c r="H114" s="11">
        <v>0</v>
      </c>
      <c r="I114" s="11">
        <v>0</v>
      </c>
      <c r="J114" s="11">
        <v>30000</v>
      </c>
      <c r="K114" s="11">
        <v>0</v>
      </c>
      <c r="L114" s="11">
        <v>0</v>
      </c>
      <c r="M114" s="11">
        <v>0</v>
      </c>
      <c r="N114" s="11">
        <v>0</v>
      </c>
      <c r="O114" s="11">
        <f t="shared" si="3"/>
        <v>30000</v>
      </c>
    </row>
    <row r="115" spans="1:15" ht="87" customHeight="1" x14ac:dyDescent="0.2">
      <c r="A115" s="79"/>
      <c r="B115" s="30"/>
      <c r="C115" s="97" t="s">
        <v>104</v>
      </c>
      <c r="D115" s="59" t="s">
        <v>46</v>
      </c>
      <c r="E115" s="36"/>
      <c r="F115" s="46" t="s">
        <v>15</v>
      </c>
      <c r="G115" s="18">
        <v>0</v>
      </c>
      <c r="H115" s="11">
        <v>0</v>
      </c>
      <c r="I115" s="11">
        <v>0</v>
      </c>
      <c r="J115" s="11">
        <v>7000</v>
      </c>
      <c r="K115" s="11">
        <v>13389</v>
      </c>
      <c r="L115" s="11">
        <f>0+4455</f>
        <v>4455</v>
      </c>
      <c r="M115" s="11">
        <f>0+2600+2000</f>
        <v>4600</v>
      </c>
      <c r="N115" s="11">
        <v>0</v>
      </c>
      <c r="O115" s="11">
        <f t="shared" si="3"/>
        <v>29444</v>
      </c>
    </row>
    <row r="116" spans="1:15" ht="120" customHeight="1" x14ac:dyDescent="0.2">
      <c r="A116" s="94"/>
      <c r="B116" s="95"/>
      <c r="C116" s="28" t="s">
        <v>105</v>
      </c>
      <c r="D116" s="51" t="s">
        <v>100</v>
      </c>
      <c r="E116" s="36"/>
      <c r="F116" s="46" t="s">
        <v>15</v>
      </c>
      <c r="G116" s="18">
        <v>0</v>
      </c>
      <c r="H116" s="18">
        <v>0</v>
      </c>
      <c r="I116" s="18">
        <v>0</v>
      </c>
      <c r="J116" s="18">
        <v>0</v>
      </c>
      <c r="K116" s="11">
        <v>200</v>
      </c>
      <c r="L116" s="11">
        <v>97.64</v>
      </c>
      <c r="M116" s="11">
        <v>0</v>
      </c>
      <c r="N116" s="11">
        <v>0</v>
      </c>
      <c r="O116" s="11">
        <f t="shared" si="3"/>
        <v>297.64</v>
      </c>
    </row>
    <row r="117" spans="1:15" ht="75" customHeight="1" x14ac:dyDescent="0.2">
      <c r="A117" s="19"/>
      <c r="B117" s="93"/>
      <c r="C117" s="96" t="s">
        <v>106</v>
      </c>
      <c r="D117" s="10">
        <v>2020</v>
      </c>
      <c r="E117" s="29"/>
      <c r="F117" s="10" t="s">
        <v>15</v>
      </c>
      <c r="G117" s="18">
        <v>0</v>
      </c>
      <c r="H117" s="11">
        <v>0</v>
      </c>
      <c r="I117" s="11">
        <v>0</v>
      </c>
      <c r="J117" s="11">
        <v>0</v>
      </c>
      <c r="K117" s="11">
        <v>50000</v>
      </c>
      <c r="L117" s="11">
        <v>0</v>
      </c>
      <c r="M117" s="11">
        <v>0</v>
      </c>
      <c r="N117" s="11">
        <v>0</v>
      </c>
      <c r="O117" s="11">
        <f t="shared" si="3"/>
        <v>50000</v>
      </c>
    </row>
    <row r="118" spans="1:15" ht="71.25" customHeight="1" x14ac:dyDescent="0.2">
      <c r="A118" s="19"/>
      <c r="B118" s="93"/>
      <c r="C118" s="96" t="s">
        <v>107</v>
      </c>
      <c r="D118" s="10">
        <v>2020</v>
      </c>
      <c r="E118" s="29"/>
      <c r="F118" s="10" t="s">
        <v>15</v>
      </c>
      <c r="G118" s="18">
        <v>0</v>
      </c>
      <c r="H118" s="11">
        <v>0</v>
      </c>
      <c r="I118" s="11">
        <v>0</v>
      </c>
      <c r="J118" s="11">
        <v>0</v>
      </c>
      <c r="K118" s="11">
        <v>690</v>
      </c>
      <c r="L118" s="11">
        <v>0</v>
      </c>
      <c r="M118" s="11">
        <v>0</v>
      </c>
      <c r="N118" s="11">
        <v>0</v>
      </c>
      <c r="O118" s="11">
        <f t="shared" si="3"/>
        <v>690</v>
      </c>
    </row>
    <row r="119" spans="1:15" ht="84" customHeight="1" x14ac:dyDescent="0.2">
      <c r="A119" s="19"/>
      <c r="B119" s="93"/>
      <c r="C119" s="17" t="s">
        <v>108</v>
      </c>
      <c r="D119" s="10">
        <v>2020</v>
      </c>
      <c r="E119" s="29"/>
      <c r="F119" s="10" t="s">
        <v>15</v>
      </c>
      <c r="G119" s="18">
        <v>0</v>
      </c>
      <c r="H119" s="11">
        <v>0</v>
      </c>
      <c r="I119" s="11">
        <v>0</v>
      </c>
      <c r="J119" s="11">
        <v>0</v>
      </c>
      <c r="K119" s="11">
        <v>900</v>
      </c>
      <c r="L119" s="11">
        <v>0</v>
      </c>
      <c r="M119" s="11">
        <v>0</v>
      </c>
      <c r="N119" s="11">
        <v>0</v>
      </c>
      <c r="O119" s="11">
        <f t="shared" si="3"/>
        <v>900</v>
      </c>
    </row>
    <row r="120" spans="1:15" ht="121.5" customHeight="1" x14ac:dyDescent="0.2">
      <c r="A120" s="98"/>
      <c r="B120" s="99"/>
      <c r="C120" s="17" t="s">
        <v>109</v>
      </c>
      <c r="D120" s="10" t="s">
        <v>100</v>
      </c>
      <c r="E120" s="29"/>
      <c r="F120" s="10" t="s">
        <v>15</v>
      </c>
      <c r="G120" s="18">
        <v>0</v>
      </c>
      <c r="H120" s="11">
        <v>0</v>
      </c>
      <c r="I120" s="11">
        <v>0</v>
      </c>
      <c r="J120" s="11">
        <v>0</v>
      </c>
      <c r="K120" s="11">
        <v>2334.5</v>
      </c>
      <c r="L120" s="11">
        <v>1892.3</v>
      </c>
      <c r="M120" s="11">
        <v>0</v>
      </c>
      <c r="N120" s="11">
        <v>0</v>
      </c>
      <c r="O120" s="11">
        <f t="shared" si="3"/>
        <v>4226.8</v>
      </c>
    </row>
    <row r="121" spans="1:15" ht="72" customHeight="1" x14ac:dyDescent="0.2">
      <c r="A121" s="98"/>
      <c r="B121" s="99"/>
      <c r="C121" s="17" t="s">
        <v>110</v>
      </c>
      <c r="D121" s="10" t="s">
        <v>100</v>
      </c>
      <c r="E121" s="19"/>
      <c r="F121" s="10" t="s">
        <v>15</v>
      </c>
      <c r="G121" s="18">
        <v>0</v>
      </c>
      <c r="H121" s="11">
        <v>0</v>
      </c>
      <c r="I121" s="11">
        <v>0</v>
      </c>
      <c r="J121" s="11">
        <v>0</v>
      </c>
      <c r="K121" s="11">
        <v>1168.73</v>
      </c>
      <c r="L121" s="11">
        <f>0+320.8</f>
        <v>320.8</v>
      </c>
      <c r="M121" s="11">
        <v>0</v>
      </c>
      <c r="N121" s="11">
        <v>0</v>
      </c>
      <c r="O121" s="11">
        <f t="shared" si="3"/>
        <v>1489.53</v>
      </c>
    </row>
    <row r="122" spans="1:15" ht="99.75" customHeight="1" x14ac:dyDescent="0.2">
      <c r="A122" s="100"/>
      <c r="B122" s="101"/>
      <c r="C122" s="22" t="s">
        <v>111</v>
      </c>
      <c r="D122" s="23" t="s">
        <v>112</v>
      </c>
      <c r="E122" s="67"/>
      <c r="F122" s="23" t="s">
        <v>15</v>
      </c>
      <c r="G122" s="91">
        <v>0</v>
      </c>
      <c r="H122" s="11">
        <v>0</v>
      </c>
      <c r="I122" s="11">
        <v>0</v>
      </c>
      <c r="J122" s="11">
        <v>0</v>
      </c>
      <c r="K122" s="11">
        <v>500</v>
      </c>
      <c r="L122" s="11">
        <v>500</v>
      </c>
      <c r="M122" s="11">
        <v>0</v>
      </c>
      <c r="N122" s="11">
        <v>0</v>
      </c>
      <c r="O122" s="11">
        <f t="shared" si="3"/>
        <v>1000</v>
      </c>
    </row>
    <row r="123" spans="1:15" ht="30" customHeight="1" x14ac:dyDescent="0.2">
      <c r="A123" s="241">
        <v>10</v>
      </c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</row>
    <row r="124" spans="1:15" ht="21" customHeight="1" x14ac:dyDescent="0.2">
      <c r="A124" s="246" t="s">
        <v>26</v>
      </c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</row>
    <row r="125" spans="1:15" ht="36.75" customHeight="1" x14ac:dyDescent="0.2">
      <c r="A125" s="7">
        <v>1</v>
      </c>
      <c r="B125" s="7">
        <v>2</v>
      </c>
      <c r="C125" s="7">
        <v>3</v>
      </c>
      <c r="D125" s="7">
        <v>4</v>
      </c>
      <c r="E125" s="7">
        <v>5</v>
      </c>
      <c r="F125" s="7">
        <v>6</v>
      </c>
      <c r="G125" s="7">
        <v>7</v>
      </c>
      <c r="H125" s="7">
        <v>8</v>
      </c>
      <c r="I125" s="7">
        <v>9</v>
      </c>
      <c r="J125" s="7">
        <v>10</v>
      </c>
      <c r="K125" s="7">
        <v>11</v>
      </c>
      <c r="L125" s="7">
        <v>12</v>
      </c>
      <c r="M125" s="7">
        <v>13</v>
      </c>
      <c r="N125" s="7">
        <v>14</v>
      </c>
      <c r="O125" s="7">
        <v>15</v>
      </c>
    </row>
    <row r="126" spans="1:15" ht="66" customHeight="1" x14ac:dyDescent="0.2">
      <c r="A126" s="98"/>
      <c r="B126" s="99"/>
      <c r="C126" s="17" t="s">
        <v>113</v>
      </c>
      <c r="D126" s="10" t="s">
        <v>65</v>
      </c>
      <c r="E126" s="19"/>
      <c r="F126" s="10" t="s">
        <v>15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1">
        <v>5200</v>
      </c>
      <c r="M126" s="11">
        <f>2860-2860</f>
        <v>0</v>
      </c>
      <c r="N126" s="11">
        <v>3150</v>
      </c>
      <c r="O126" s="11">
        <f t="shared" si="3"/>
        <v>8350</v>
      </c>
    </row>
    <row r="127" spans="1:15" ht="76.5" customHeight="1" x14ac:dyDescent="0.2">
      <c r="A127" s="102"/>
      <c r="B127" s="103"/>
      <c r="C127" s="39" t="s">
        <v>114</v>
      </c>
      <c r="D127" s="59" t="s">
        <v>65</v>
      </c>
      <c r="E127" s="69" t="s">
        <v>115</v>
      </c>
      <c r="F127" s="46" t="s">
        <v>15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1">
        <v>2300</v>
      </c>
      <c r="M127" s="11">
        <v>0</v>
      </c>
      <c r="N127" s="11">
        <v>2800</v>
      </c>
      <c r="O127" s="11">
        <f t="shared" si="3"/>
        <v>5100</v>
      </c>
    </row>
    <row r="128" spans="1:15" ht="93.75" customHeight="1" x14ac:dyDescent="0.2">
      <c r="A128" s="98"/>
      <c r="B128" s="99"/>
      <c r="C128" s="17" t="s">
        <v>116</v>
      </c>
      <c r="D128" s="10" t="s">
        <v>65</v>
      </c>
      <c r="E128" s="19"/>
      <c r="F128" s="10" t="s">
        <v>15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1">
        <v>24900</v>
      </c>
      <c r="M128" s="11">
        <f>27309.5-27309.5</f>
        <v>0</v>
      </c>
      <c r="N128" s="11">
        <v>0</v>
      </c>
      <c r="O128" s="11">
        <f t="shared" si="3"/>
        <v>24900</v>
      </c>
    </row>
    <row r="129" spans="1:15" ht="63" hidden="1" customHeight="1" x14ac:dyDescent="0.2">
      <c r="A129" s="98"/>
      <c r="B129" s="99"/>
      <c r="C129" s="17" t="s">
        <v>117</v>
      </c>
      <c r="D129" s="10" t="s">
        <v>65</v>
      </c>
      <c r="E129" s="19"/>
      <c r="F129" s="10" t="s">
        <v>74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1">
        <v>0</v>
      </c>
      <c r="M129" s="11">
        <v>0</v>
      </c>
      <c r="N129" s="11">
        <v>0</v>
      </c>
      <c r="O129" s="11">
        <f t="shared" si="3"/>
        <v>0</v>
      </c>
    </row>
    <row r="130" spans="1:15" ht="72.75" customHeight="1" x14ac:dyDescent="0.2">
      <c r="A130" s="98"/>
      <c r="B130" s="99"/>
      <c r="C130" s="17" t="s">
        <v>118</v>
      </c>
      <c r="D130" s="10" t="s">
        <v>65</v>
      </c>
      <c r="E130" s="19"/>
      <c r="F130" s="10" t="s">
        <v>15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1">
        <v>1000</v>
      </c>
      <c r="M130" s="11">
        <v>0</v>
      </c>
      <c r="N130" s="11">
        <v>0</v>
      </c>
      <c r="O130" s="11">
        <f t="shared" si="3"/>
        <v>1000</v>
      </c>
    </row>
    <row r="131" spans="1:15" ht="71.25" customHeight="1" x14ac:dyDescent="0.2">
      <c r="A131" s="98"/>
      <c r="B131" s="99"/>
      <c r="C131" s="17" t="s">
        <v>119</v>
      </c>
      <c r="D131" s="10" t="s">
        <v>65</v>
      </c>
      <c r="E131" s="19"/>
      <c r="F131" s="10" t="s">
        <v>15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1">
        <v>425000</v>
      </c>
      <c r="M131" s="11">
        <v>510000</v>
      </c>
      <c r="N131" s="11">
        <v>225000</v>
      </c>
      <c r="O131" s="11">
        <f t="shared" si="3"/>
        <v>1160000</v>
      </c>
    </row>
    <row r="132" spans="1:15" ht="74.25" customHeight="1" x14ac:dyDescent="0.2">
      <c r="A132" s="98"/>
      <c r="B132" s="99"/>
      <c r="C132" s="17" t="s">
        <v>120</v>
      </c>
      <c r="D132" s="10" t="s">
        <v>65</v>
      </c>
      <c r="E132" s="19"/>
      <c r="F132" s="10" t="s">
        <v>15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1">
        <v>0</v>
      </c>
      <c r="M132" s="11">
        <v>400</v>
      </c>
      <c r="N132" s="11">
        <v>0</v>
      </c>
      <c r="O132" s="11">
        <f t="shared" si="3"/>
        <v>400</v>
      </c>
    </row>
    <row r="133" spans="1:15" ht="78" customHeight="1" x14ac:dyDescent="0.2">
      <c r="A133" s="98"/>
      <c r="B133" s="99"/>
      <c r="C133" s="17" t="s">
        <v>121</v>
      </c>
      <c r="D133" s="10" t="s">
        <v>65</v>
      </c>
      <c r="E133" s="19"/>
      <c r="F133" s="10" t="s">
        <v>15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1">
        <v>0</v>
      </c>
      <c r="M133" s="11">
        <v>300</v>
      </c>
      <c r="N133" s="11">
        <v>0</v>
      </c>
      <c r="O133" s="11">
        <f t="shared" si="3"/>
        <v>300</v>
      </c>
    </row>
    <row r="134" spans="1:15" ht="85.5" customHeight="1" x14ac:dyDescent="0.2">
      <c r="A134" s="98"/>
      <c r="B134" s="99"/>
      <c r="C134" s="17" t="s">
        <v>122</v>
      </c>
      <c r="D134" s="10" t="s">
        <v>65</v>
      </c>
      <c r="E134" s="19"/>
      <c r="F134" s="10" t="s">
        <v>15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1">
        <v>0</v>
      </c>
      <c r="M134" s="11">
        <v>200</v>
      </c>
      <c r="N134" s="11">
        <v>0</v>
      </c>
      <c r="O134" s="11">
        <f t="shared" si="3"/>
        <v>200</v>
      </c>
    </row>
    <row r="135" spans="1:15" ht="83.25" customHeight="1" x14ac:dyDescent="0.2">
      <c r="A135" s="102"/>
      <c r="B135" s="104"/>
      <c r="C135" s="105" t="s">
        <v>123</v>
      </c>
      <c r="D135" s="106" t="s">
        <v>65</v>
      </c>
      <c r="E135" s="69"/>
      <c r="F135" s="46" t="s">
        <v>15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1">
        <v>0</v>
      </c>
      <c r="M135" s="11">
        <v>120</v>
      </c>
      <c r="N135" s="11">
        <v>0</v>
      </c>
      <c r="O135" s="11">
        <f t="shared" si="3"/>
        <v>120</v>
      </c>
    </row>
    <row r="136" spans="1:15" ht="92.25" customHeight="1" x14ac:dyDescent="0.2">
      <c r="A136" s="107"/>
      <c r="B136" s="108"/>
      <c r="C136" s="43" t="s">
        <v>124</v>
      </c>
      <c r="D136" s="109" t="s">
        <v>65</v>
      </c>
      <c r="E136" s="88"/>
      <c r="F136" s="46" t="s">
        <v>15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1">
        <v>0</v>
      </c>
      <c r="M136" s="11">
        <v>135</v>
      </c>
      <c r="N136" s="11">
        <v>0</v>
      </c>
      <c r="O136" s="11">
        <f t="shared" si="3"/>
        <v>135</v>
      </c>
    </row>
    <row r="137" spans="1:15" ht="33" customHeight="1" x14ac:dyDescent="0.2">
      <c r="A137" s="241">
        <v>11</v>
      </c>
      <c r="B137" s="241"/>
      <c r="C137" s="241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</row>
    <row r="138" spans="1:15" ht="25.5" customHeight="1" x14ac:dyDescent="0.2">
      <c r="A138" s="246" t="s">
        <v>26</v>
      </c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</row>
    <row r="139" spans="1:15" ht="33.75" customHeight="1" x14ac:dyDescent="0.2">
      <c r="A139" s="7">
        <v>1</v>
      </c>
      <c r="B139" s="7">
        <v>2</v>
      </c>
      <c r="C139" s="7">
        <v>3</v>
      </c>
      <c r="D139" s="7">
        <v>4</v>
      </c>
      <c r="E139" s="7">
        <v>5</v>
      </c>
      <c r="F139" s="7">
        <v>6</v>
      </c>
      <c r="G139" s="7">
        <v>7</v>
      </c>
      <c r="H139" s="7">
        <v>8</v>
      </c>
      <c r="I139" s="7">
        <v>9</v>
      </c>
      <c r="J139" s="7">
        <v>10</v>
      </c>
      <c r="K139" s="7">
        <v>11</v>
      </c>
      <c r="L139" s="7">
        <v>12</v>
      </c>
      <c r="M139" s="7">
        <v>13</v>
      </c>
      <c r="N139" s="7">
        <v>14</v>
      </c>
      <c r="O139" s="7">
        <v>15</v>
      </c>
    </row>
    <row r="140" spans="1:15" ht="80.25" customHeight="1" x14ac:dyDescent="0.2">
      <c r="A140" s="98"/>
      <c r="B140" s="99"/>
      <c r="C140" s="17" t="s">
        <v>125</v>
      </c>
      <c r="D140" s="10" t="s">
        <v>65</v>
      </c>
      <c r="E140" s="19"/>
      <c r="F140" s="10" t="s">
        <v>15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1">
        <v>0</v>
      </c>
      <c r="M140" s="11">
        <v>150</v>
      </c>
      <c r="N140" s="11">
        <v>0</v>
      </c>
      <c r="O140" s="11">
        <f t="shared" si="3"/>
        <v>150</v>
      </c>
    </row>
    <row r="141" spans="1:15" ht="79.5" customHeight="1" x14ac:dyDescent="0.2">
      <c r="A141" s="110"/>
      <c r="B141" s="104"/>
      <c r="C141" s="39" t="s">
        <v>126</v>
      </c>
      <c r="D141" s="59" t="s">
        <v>65</v>
      </c>
      <c r="E141" s="69"/>
      <c r="F141" s="46" t="s">
        <v>15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1">
        <v>0</v>
      </c>
      <c r="M141" s="11">
        <v>320</v>
      </c>
      <c r="N141" s="11">
        <v>0</v>
      </c>
      <c r="O141" s="11">
        <f t="shared" si="3"/>
        <v>320</v>
      </c>
    </row>
    <row r="142" spans="1:15" ht="90" customHeight="1" x14ac:dyDescent="0.2">
      <c r="A142" s="110"/>
      <c r="B142" s="104"/>
      <c r="C142" s="28" t="s">
        <v>127</v>
      </c>
      <c r="D142" s="51" t="s">
        <v>65</v>
      </c>
      <c r="E142" s="69"/>
      <c r="F142" s="46" t="s">
        <v>15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1">
        <v>500</v>
      </c>
      <c r="M142" s="11">
        <v>0</v>
      </c>
      <c r="N142" s="11">
        <v>0</v>
      </c>
      <c r="O142" s="11">
        <f t="shared" si="3"/>
        <v>500</v>
      </c>
    </row>
    <row r="143" spans="1:15" ht="90" customHeight="1" x14ac:dyDescent="0.2">
      <c r="A143" s="98"/>
      <c r="B143" s="99"/>
      <c r="C143" s="17" t="s">
        <v>128</v>
      </c>
      <c r="D143" s="10" t="s">
        <v>65</v>
      </c>
      <c r="E143" s="19"/>
      <c r="F143" s="10" t="s">
        <v>15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1">
        <v>0</v>
      </c>
      <c r="M143" s="11">
        <v>500</v>
      </c>
      <c r="N143" s="11">
        <v>0</v>
      </c>
      <c r="O143" s="11">
        <f t="shared" si="3"/>
        <v>500</v>
      </c>
    </row>
    <row r="144" spans="1:15" ht="66.75" customHeight="1" x14ac:dyDescent="0.2">
      <c r="A144" s="98"/>
      <c r="B144" s="99"/>
      <c r="C144" s="17" t="s">
        <v>129</v>
      </c>
      <c r="D144" s="10" t="s">
        <v>65</v>
      </c>
      <c r="E144" s="19"/>
      <c r="F144" s="10" t="s">
        <v>15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1">
        <v>410</v>
      </c>
      <c r="M144" s="11">
        <v>0</v>
      </c>
      <c r="N144" s="11">
        <v>0</v>
      </c>
      <c r="O144" s="11">
        <f t="shared" si="3"/>
        <v>410</v>
      </c>
    </row>
    <row r="145" spans="1:15" ht="69" customHeight="1" x14ac:dyDescent="0.2">
      <c r="A145" s="98"/>
      <c r="B145" s="99"/>
      <c r="C145" s="17" t="s">
        <v>130</v>
      </c>
      <c r="D145" s="10" t="s">
        <v>65</v>
      </c>
      <c r="E145" s="19"/>
      <c r="F145" s="10" t="s">
        <v>15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1">
        <v>0</v>
      </c>
      <c r="M145" s="11">
        <v>0</v>
      </c>
      <c r="N145" s="11">
        <v>15000</v>
      </c>
      <c r="O145" s="11">
        <f t="shared" si="3"/>
        <v>15000</v>
      </c>
    </row>
    <row r="146" spans="1:15" ht="75" customHeight="1" x14ac:dyDescent="0.2">
      <c r="A146" s="98"/>
      <c r="B146" s="99"/>
      <c r="C146" s="17" t="s">
        <v>131</v>
      </c>
      <c r="D146" s="10" t="s">
        <v>65</v>
      </c>
      <c r="E146" s="19"/>
      <c r="F146" s="10" t="s">
        <v>15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1">
        <v>0</v>
      </c>
      <c r="M146" s="11">
        <v>0</v>
      </c>
      <c r="N146" s="11">
        <v>3400</v>
      </c>
      <c r="O146" s="11">
        <f t="shared" si="3"/>
        <v>3400</v>
      </c>
    </row>
    <row r="147" spans="1:15" ht="74.25" customHeight="1" x14ac:dyDescent="0.2">
      <c r="A147" s="102"/>
      <c r="B147" s="104"/>
      <c r="C147" s="28" t="s">
        <v>132</v>
      </c>
      <c r="D147" s="10" t="s">
        <v>65</v>
      </c>
      <c r="E147" s="19"/>
      <c r="F147" s="10" t="s">
        <v>15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1">
        <v>0</v>
      </c>
      <c r="M147" s="11">
        <v>0</v>
      </c>
      <c r="N147" s="11">
        <v>1200</v>
      </c>
      <c r="O147" s="11">
        <f t="shared" si="3"/>
        <v>1200</v>
      </c>
    </row>
    <row r="148" spans="1:15" ht="72.75" customHeight="1" x14ac:dyDescent="0.2">
      <c r="A148" s="102"/>
      <c r="B148" s="104"/>
      <c r="C148" s="28" t="s">
        <v>133</v>
      </c>
      <c r="D148" s="10" t="s">
        <v>65</v>
      </c>
      <c r="E148" s="19"/>
      <c r="F148" s="10" t="s">
        <v>15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1">
        <v>0</v>
      </c>
      <c r="M148" s="11">
        <v>1000</v>
      </c>
      <c r="N148" s="11">
        <v>0</v>
      </c>
      <c r="O148" s="11">
        <f t="shared" si="3"/>
        <v>1000</v>
      </c>
    </row>
    <row r="149" spans="1:15" ht="89.25" customHeight="1" x14ac:dyDescent="0.2">
      <c r="A149" s="107"/>
      <c r="B149" s="108"/>
      <c r="C149" s="28" t="s">
        <v>134</v>
      </c>
      <c r="D149" s="10" t="s">
        <v>65</v>
      </c>
      <c r="E149" s="67"/>
      <c r="F149" s="10" t="s">
        <v>15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1">
        <v>0</v>
      </c>
      <c r="M149" s="11">
        <v>0</v>
      </c>
      <c r="N149" s="11">
        <v>300</v>
      </c>
      <c r="O149" s="11">
        <f t="shared" si="3"/>
        <v>300</v>
      </c>
    </row>
    <row r="150" spans="1:15" ht="33.75" customHeight="1" x14ac:dyDescent="0.2">
      <c r="A150" s="241">
        <v>12</v>
      </c>
      <c r="B150" s="241"/>
      <c r="C150" s="241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</row>
    <row r="151" spans="1:15" ht="29.25" customHeight="1" x14ac:dyDescent="0.2">
      <c r="A151" s="246" t="s">
        <v>26</v>
      </c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</row>
    <row r="152" spans="1:15" ht="30.75" customHeight="1" x14ac:dyDescent="0.2">
      <c r="A152" s="7">
        <v>1</v>
      </c>
      <c r="B152" s="7">
        <v>2</v>
      </c>
      <c r="C152" s="7">
        <v>3</v>
      </c>
      <c r="D152" s="7">
        <v>4</v>
      </c>
      <c r="E152" s="7">
        <v>5</v>
      </c>
      <c r="F152" s="7">
        <v>6</v>
      </c>
      <c r="G152" s="7">
        <v>7</v>
      </c>
      <c r="H152" s="7">
        <v>8</v>
      </c>
      <c r="I152" s="7">
        <v>9</v>
      </c>
      <c r="J152" s="7">
        <v>10</v>
      </c>
      <c r="K152" s="7">
        <v>11</v>
      </c>
      <c r="L152" s="7">
        <v>12</v>
      </c>
      <c r="M152" s="7">
        <v>13</v>
      </c>
      <c r="N152" s="7">
        <v>14</v>
      </c>
      <c r="O152" s="7">
        <v>15</v>
      </c>
    </row>
    <row r="153" spans="1:15" ht="78.75" customHeight="1" x14ac:dyDescent="0.2">
      <c r="A153" s="98"/>
      <c r="B153" s="99"/>
      <c r="C153" s="17" t="s">
        <v>135</v>
      </c>
      <c r="D153" s="10" t="s">
        <v>65</v>
      </c>
      <c r="E153" s="19"/>
      <c r="F153" s="10" t="s">
        <v>15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1">
        <v>0</v>
      </c>
      <c r="M153" s="11">
        <v>0</v>
      </c>
      <c r="N153" s="11">
        <v>350</v>
      </c>
      <c r="O153" s="11">
        <f t="shared" si="3"/>
        <v>350</v>
      </c>
    </row>
    <row r="154" spans="1:15" ht="84" customHeight="1" x14ac:dyDescent="0.2">
      <c r="A154" s="102"/>
      <c r="B154" s="104"/>
      <c r="C154" s="39" t="s">
        <v>136</v>
      </c>
      <c r="D154" s="59" t="s">
        <v>65</v>
      </c>
      <c r="E154" s="69"/>
      <c r="F154" s="46" t="s">
        <v>15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1">
        <v>0</v>
      </c>
      <c r="M154" s="11">
        <v>0</v>
      </c>
      <c r="N154" s="11">
        <v>400</v>
      </c>
      <c r="O154" s="11">
        <f t="shared" si="3"/>
        <v>400</v>
      </c>
    </row>
    <row r="155" spans="1:15" ht="80.25" customHeight="1" x14ac:dyDescent="0.2">
      <c r="A155" s="98"/>
      <c r="B155" s="99"/>
      <c r="C155" s="17" t="s">
        <v>137</v>
      </c>
      <c r="D155" s="10" t="s">
        <v>65</v>
      </c>
      <c r="E155" s="19"/>
      <c r="F155" s="10" t="s">
        <v>15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1">
        <v>0</v>
      </c>
      <c r="M155" s="11">
        <f>5000-5000</f>
        <v>0</v>
      </c>
      <c r="N155" s="11">
        <v>0</v>
      </c>
      <c r="O155" s="11">
        <f t="shared" ref="O155:O171" si="4">SUM(G155:N155)</f>
        <v>0</v>
      </c>
    </row>
    <row r="156" spans="1:15" ht="72.75" customHeight="1" x14ac:dyDescent="0.2">
      <c r="A156" s="98"/>
      <c r="B156" s="99"/>
      <c r="C156" s="17" t="s">
        <v>138</v>
      </c>
      <c r="D156" s="10" t="s">
        <v>65</v>
      </c>
      <c r="E156" s="19"/>
      <c r="F156" s="10" t="s">
        <v>15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1">
        <v>0</v>
      </c>
      <c r="M156" s="11">
        <v>0</v>
      </c>
      <c r="N156" s="11">
        <v>12000</v>
      </c>
      <c r="O156" s="11">
        <f t="shared" si="4"/>
        <v>12000</v>
      </c>
    </row>
    <row r="157" spans="1:15" ht="90" customHeight="1" x14ac:dyDescent="0.2">
      <c r="A157" s="98"/>
      <c r="B157" s="99"/>
      <c r="C157" s="17" t="s">
        <v>139</v>
      </c>
      <c r="D157" s="10" t="s">
        <v>65</v>
      </c>
      <c r="E157" s="19"/>
      <c r="F157" s="10" t="s">
        <v>15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1">
        <v>0</v>
      </c>
      <c r="M157" s="11">
        <f>18000-488.9+99.5</f>
        <v>17610.599999999999</v>
      </c>
      <c r="N157" s="11">
        <v>0</v>
      </c>
      <c r="O157" s="11">
        <f t="shared" si="4"/>
        <v>17610.599999999999</v>
      </c>
    </row>
    <row r="158" spans="1:15" ht="107.25" customHeight="1" x14ac:dyDescent="0.2">
      <c r="A158" s="98"/>
      <c r="B158" s="99"/>
      <c r="C158" s="17" t="s">
        <v>140</v>
      </c>
      <c r="D158" s="10" t="s">
        <v>65</v>
      </c>
      <c r="E158" s="19"/>
      <c r="F158" s="10" t="s">
        <v>15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1">
        <v>0</v>
      </c>
      <c r="M158" s="11">
        <v>0</v>
      </c>
      <c r="N158" s="11">
        <v>18000</v>
      </c>
      <c r="O158" s="11">
        <f t="shared" si="4"/>
        <v>18000</v>
      </c>
    </row>
    <row r="159" spans="1:15" ht="95.25" customHeight="1" x14ac:dyDescent="0.2">
      <c r="A159" s="98"/>
      <c r="B159" s="99"/>
      <c r="C159" s="111" t="s">
        <v>141</v>
      </c>
      <c r="D159" s="10" t="s">
        <v>65</v>
      </c>
      <c r="E159" s="19"/>
      <c r="F159" s="10" t="s">
        <v>15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1">
        <v>0</v>
      </c>
      <c r="M159" s="11">
        <v>120</v>
      </c>
      <c r="N159" s="11">
        <v>0</v>
      </c>
      <c r="O159" s="11">
        <f t="shared" si="4"/>
        <v>120</v>
      </c>
    </row>
    <row r="160" spans="1:15" ht="90" customHeight="1" x14ac:dyDescent="0.2">
      <c r="A160" s="102"/>
      <c r="B160" s="104"/>
      <c r="C160" s="112" t="s">
        <v>142</v>
      </c>
      <c r="D160" s="106" t="s">
        <v>65</v>
      </c>
      <c r="E160" s="69"/>
      <c r="F160" s="46" t="s">
        <v>15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1">
        <v>0</v>
      </c>
      <c r="M160" s="11">
        <v>135</v>
      </c>
      <c r="N160" s="11">
        <v>0</v>
      </c>
      <c r="O160" s="11">
        <f t="shared" si="4"/>
        <v>135</v>
      </c>
    </row>
    <row r="161" spans="1:17" ht="93" customHeight="1" x14ac:dyDescent="0.2">
      <c r="A161" s="107"/>
      <c r="B161" s="108"/>
      <c r="C161" s="113" t="s">
        <v>143</v>
      </c>
      <c r="D161" s="114" t="s">
        <v>65</v>
      </c>
      <c r="E161" s="88"/>
      <c r="F161" s="46" t="s">
        <v>15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1">
        <v>0</v>
      </c>
      <c r="M161" s="11">
        <v>0</v>
      </c>
      <c r="N161" s="11">
        <v>300</v>
      </c>
      <c r="O161" s="11">
        <f t="shared" si="4"/>
        <v>300</v>
      </c>
    </row>
    <row r="162" spans="1:17" ht="36.75" customHeight="1" x14ac:dyDescent="0.2">
      <c r="A162" s="241">
        <v>13</v>
      </c>
      <c r="B162" s="241"/>
      <c r="C162" s="241"/>
      <c r="D162" s="241"/>
      <c r="E162" s="241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</row>
    <row r="163" spans="1:17" ht="24.75" customHeight="1" x14ac:dyDescent="0.2">
      <c r="A163" s="246" t="s">
        <v>26</v>
      </c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</row>
    <row r="164" spans="1:17" ht="31.5" customHeight="1" x14ac:dyDescent="0.2">
      <c r="A164" s="7">
        <v>1</v>
      </c>
      <c r="B164" s="7">
        <v>2</v>
      </c>
      <c r="C164" s="7">
        <v>3</v>
      </c>
      <c r="D164" s="7">
        <v>4</v>
      </c>
      <c r="E164" s="7">
        <v>5</v>
      </c>
      <c r="F164" s="7">
        <v>6</v>
      </c>
      <c r="G164" s="7">
        <v>7</v>
      </c>
      <c r="H164" s="7">
        <v>8</v>
      </c>
      <c r="I164" s="7">
        <v>9</v>
      </c>
      <c r="J164" s="7">
        <v>10</v>
      </c>
      <c r="K164" s="7">
        <v>11</v>
      </c>
      <c r="L164" s="7">
        <v>12</v>
      </c>
      <c r="M164" s="7">
        <v>13</v>
      </c>
      <c r="N164" s="7">
        <v>14</v>
      </c>
      <c r="O164" s="7">
        <v>15</v>
      </c>
    </row>
    <row r="165" spans="1:17" ht="78" customHeight="1" x14ac:dyDescent="0.2">
      <c r="A165" s="98"/>
      <c r="B165" s="99"/>
      <c r="C165" s="111" t="s">
        <v>144</v>
      </c>
      <c r="D165" s="10" t="s">
        <v>65</v>
      </c>
      <c r="E165" s="19"/>
      <c r="F165" s="10" t="s">
        <v>15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1">
        <v>0</v>
      </c>
      <c r="M165" s="11">
        <v>0</v>
      </c>
      <c r="N165" s="11">
        <v>350</v>
      </c>
      <c r="O165" s="11">
        <f t="shared" si="4"/>
        <v>350</v>
      </c>
    </row>
    <row r="166" spans="1:17" ht="37.5" hidden="1" customHeight="1" x14ac:dyDescent="0.2">
      <c r="A166" s="98"/>
      <c r="B166" s="99"/>
      <c r="C166" s="111" t="s">
        <v>145</v>
      </c>
      <c r="D166" s="10" t="s">
        <v>65</v>
      </c>
      <c r="E166" s="19"/>
      <c r="F166" s="10" t="s">
        <v>74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1">
        <v>0</v>
      </c>
      <c r="M166" s="11">
        <v>0</v>
      </c>
      <c r="N166" s="11">
        <v>0</v>
      </c>
      <c r="O166" s="11">
        <f t="shared" si="4"/>
        <v>0</v>
      </c>
      <c r="Q166" s="1" t="s">
        <v>146</v>
      </c>
    </row>
    <row r="167" spans="1:17" ht="97.5" customHeight="1" x14ac:dyDescent="0.2">
      <c r="A167" s="102"/>
      <c r="B167" s="104"/>
      <c r="C167" s="92" t="s">
        <v>147</v>
      </c>
      <c r="D167" s="59" t="s">
        <v>65</v>
      </c>
      <c r="E167" s="69"/>
      <c r="F167" s="46" t="s">
        <v>15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1">
        <f>700-700</f>
        <v>0</v>
      </c>
      <c r="M167" s="11">
        <f>880</f>
        <v>880</v>
      </c>
      <c r="N167" s="11">
        <v>0</v>
      </c>
      <c r="O167" s="11">
        <f t="shared" si="4"/>
        <v>880</v>
      </c>
    </row>
    <row r="168" spans="1:17" ht="81" customHeight="1" x14ac:dyDescent="0.2">
      <c r="A168" s="102"/>
      <c r="B168" s="104"/>
      <c r="C168" s="84" t="s">
        <v>148</v>
      </c>
      <c r="D168" s="51" t="s">
        <v>65</v>
      </c>
      <c r="E168" s="69"/>
      <c r="F168" s="46" t="s">
        <v>15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1">
        <v>0</v>
      </c>
      <c r="M168" s="11">
        <v>1750</v>
      </c>
      <c r="N168" s="11">
        <v>2200</v>
      </c>
      <c r="O168" s="11">
        <f t="shared" si="4"/>
        <v>3950</v>
      </c>
    </row>
    <row r="169" spans="1:17" ht="78" customHeight="1" x14ac:dyDescent="0.2">
      <c r="A169" s="98"/>
      <c r="B169" s="99"/>
      <c r="C169" s="87" t="s">
        <v>149</v>
      </c>
      <c r="D169" s="10" t="s">
        <v>65</v>
      </c>
      <c r="E169" s="19"/>
      <c r="F169" s="10" t="s">
        <v>15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1">
        <v>500</v>
      </c>
      <c r="M169" s="11">
        <v>0</v>
      </c>
      <c r="N169" s="11">
        <v>0</v>
      </c>
      <c r="O169" s="11">
        <f t="shared" si="4"/>
        <v>500</v>
      </c>
    </row>
    <row r="170" spans="1:17" ht="66" customHeight="1" x14ac:dyDescent="0.2">
      <c r="A170" s="98"/>
      <c r="B170" s="99"/>
      <c r="C170" s="87" t="s">
        <v>150</v>
      </c>
      <c r="D170" s="10" t="s">
        <v>65</v>
      </c>
      <c r="E170" s="19"/>
      <c r="F170" s="10" t="s">
        <v>15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1">
        <v>0</v>
      </c>
      <c r="M170" s="11">
        <f>2000</f>
        <v>2000</v>
      </c>
      <c r="N170" s="11">
        <v>0</v>
      </c>
      <c r="O170" s="11">
        <f t="shared" si="4"/>
        <v>2000</v>
      </c>
    </row>
    <row r="171" spans="1:17" ht="70.5" customHeight="1" x14ac:dyDescent="0.2">
      <c r="A171" s="98"/>
      <c r="B171" s="99"/>
      <c r="C171" s="87" t="s">
        <v>151</v>
      </c>
      <c r="D171" s="10" t="s">
        <v>65</v>
      </c>
      <c r="E171" s="19"/>
      <c r="F171" s="10" t="s">
        <v>15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1">
        <v>20000</v>
      </c>
      <c r="M171" s="11">
        <f>22000+28000</f>
        <v>50000</v>
      </c>
      <c r="N171" s="11">
        <f>24200+265.6</f>
        <v>24465.599999999999</v>
      </c>
      <c r="O171" s="11">
        <f t="shared" si="4"/>
        <v>94465.600000000006</v>
      </c>
    </row>
    <row r="172" spans="1:17" ht="82.5" customHeight="1" x14ac:dyDescent="0.2">
      <c r="A172" s="98"/>
      <c r="B172" s="99"/>
      <c r="C172" s="87" t="s">
        <v>152</v>
      </c>
      <c r="D172" s="10" t="s">
        <v>65</v>
      </c>
      <c r="E172" s="19"/>
      <c r="F172" s="10" t="s">
        <v>15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1">
        <f>4000+349.7-4349.7</f>
        <v>0</v>
      </c>
      <c r="M172" s="11">
        <f>0+4349.7</f>
        <v>4349.7</v>
      </c>
      <c r="N172" s="11">
        <f>2100-2100</f>
        <v>0</v>
      </c>
      <c r="O172" s="11">
        <f>SUM(G172:N172)</f>
        <v>4349.7</v>
      </c>
      <c r="P172" s="1">
        <f>10799.4-4349.7</f>
        <v>6449.7</v>
      </c>
    </row>
    <row r="173" spans="1:17" ht="82.5" customHeight="1" x14ac:dyDescent="0.2">
      <c r="A173" s="98"/>
      <c r="B173" s="99"/>
      <c r="C173" s="87" t="s">
        <v>153</v>
      </c>
      <c r="D173" s="10" t="s">
        <v>65</v>
      </c>
      <c r="E173" s="19"/>
      <c r="F173" s="10" t="s">
        <v>15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1">
        <v>4500</v>
      </c>
      <c r="M173" s="11">
        <f>5000-5000</f>
        <v>0</v>
      </c>
      <c r="N173" s="11">
        <v>5500</v>
      </c>
      <c r="O173" s="11">
        <f t="shared" ref="O173:O200" si="5">SUM(G173:N173)</f>
        <v>10000</v>
      </c>
      <c r="P173" s="1">
        <f>6449.7+4349.7</f>
        <v>10799.4</v>
      </c>
    </row>
    <row r="174" spans="1:17" ht="86.25" customHeight="1" x14ac:dyDescent="0.2">
      <c r="A174" s="98"/>
      <c r="B174" s="99"/>
      <c r="C174" s="87" t="s">
        <v>154</v>
      </c>
      <c r="D174" s="10" t="s">
        <v>65</v>
      </c>
      <c r="E174" s="19"/>
      <c r="F174" s="10" t="s">
        <v>15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1">
        <f>4000-349.7</f>
        <v>3650.3</v>
      </c>
      <c r="M174" s="11">
        <v>0</v>
      </c>
      <c r="N174" s="11">
        <v>0</v>
      </c>
      <c r="O174" s="11">
        <f t="shared" si="5"/>
        <v>3650.3</v>
      </c>
    </row>
    <row r="175" spans="1:17" ht="83.25" customHeight="1" x14ac:dyDescent="0.2">
      <c r="A175" s="100"/>
      <c r="B175" s="101"/>
      <c r="C175" s="90" t="s">
        <v>155</v>
      </c>
      <c r="D175" s="23" t="s">
        <v>65</v>
      </c>
      <c r="E175" s="67"/>
      <c r="F175" s="23" t="s">
        <v>15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1">
        <v>0</v>
      </c>
      <c r="M175" s="11">
        <f>2500</f>
        <v>2500</v>
      </c>
      <c r="N175" s="11">
        <v>0</v>
      </c>
      <c r="O175" s="11">
        <f t="shared" si="5"/>
        <v>2500</v>
      </c>
    </row>
    <row r="176" spans="1:17" ht="20.25" customHeight="1" x14ac:dyDescent="0.2">
      <c r="A176" s="241">
        <v>14</v>
      </c>
      <c r="B176" s="241"/>
      <c r="C176" s="241"/>
      <c r="D176" s="241"/>
      <c r="E176" s="241"/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</row>
    <row r="177" spans="1:16" ht="19.5" customHeight="1" x14ac:dyDescent="0.2">
      <c r="A177" s="246" t="s">
        <v>26</v>
      </c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</row>
    <row r="178" spans="1:16" ht="27.75" customHeight="1" x14ac:dyDescent="0.2">
      <c r="A178" s="7">
        <v>1</v>
      </c>
      <c r="B178" s="7">
        <v>2</v>
      </c>
      <c r="C178" s="7">
        <v>3</v>
      </c>
      <c r="D178" s="7">
        <v>4</v>
      </c>
      <c r="E178" s="7">
        <v>5</v>
      </c>
      <c r="F178" s="7">
        <v>6</v>
      </c>
      <c r="G178" s="7">
        <v>7</v>
      </c>
      <c r="H178" s="7">
        <v>8</v>
      </c>
      <c r="I178" s="7">
        <v>9</v>
      </c>
      <c r="J178" s="7">
        <v>10</v>
      </c>
      <c r="K178" s="7">
        <v>11</v>
      </c>
      <c r="L178" s="7">
        <v>12</v>
      </c>
      <c r="M178" s="7">
        <v>13</v>
      </c>
      <c r="N178" s="7">
        <v>14</v>
      </c>
      <c r="O178" s="7">
        <v>15</v>
      </c>
    </row>
    <row r="179" spans="1:16" ht="71.25" customHeight="1" x14ac:dyDescent="0.2">
      <c r="A179" s="98"/>
      <c r="B179" s="99"/>
      <c r="C179" s="87" t="s">
        <v>156</v>
      </c>
      <c r="D179" s="10" t="s">
        <v>65</v>
      </c>
      <c r="E179" s="19"/>
      <c r="F179" s="10" t="s">
        <v>15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1">
        <v>2500</v>
      </c>
      <c r="M179" s="11">
        <v>2750</v>
      </c>
      <c r="N179" s="11">
        <f>2900+2100</f>
        <v>5000</v>
      </c>
      <c r="O179" s="11">
        <f t="shared" si="5"/>
        <v>10250</v>
      </c>
    </row>
    <row r="180" spans="1:16" ht="69.75" customHeight="1" x14ac:dyDescent="0.2">
      <c r="A180" s="110"/>
      <c r="B180" s="104"/>
      <c r="C180" s="92" t="s">
        <v>157</v>
      </c>
      <c r="D180" s="59" t="s">
        <v>65</v>
      </c>
      <c r="E180" s="69"/>
      <c r="F180" s="46" t="s">
        <v>15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1">
        <v>900</v>
      </c>
      <c r="M180" s="11">
        <v>0</v>
      </c>
      <c r="N180" s="11">
        <v>1100</v>
      </c>
      <c r="O180" s="11">
        <f t="shared" si="5"/>
        <v>2000</v>
      </c>
    </row>
    <row r="181" spans="1:16" ht="68.25" customHeight="1" x14ac:dyDescent="0.2">
      <c r="A181" s="110"/>
      <c r="B181" s="104"/>
      <c r="C181" s="84" t="s">
        <v>158</v>
      </c>
      <c r="D181" s="51" t="s">
        <v>65</v>
      </c>
      <c r="E181" s="69"/>
      <c r="F181" s="46" t="s">
        <v>15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1">
        <v>300</v>
      </c>
      <c r="M181" s="11">
        <f>330-330</f>
        <v>0</v>
      </c>
      <c r="N181" s="11">
        <f>370-265.6</f>
        <v>104.39999999999998</v>
      </c>
      <c r="O181" s="11">
        <f t="shared" si="5"/>
        <v>404.4</v>
      </c>
    </row>
    <row r="182" spans="1:16" ht="69.75" customHeight="1" x14ac:dyDescent="0.2">
      <c r="A182" s="98"/>
      <c r="B182" s="99"/>
      <c r="C182" s="87" t="s">
        <v>159</v>
      </c>
      <c r="D182" s="10" t="s">
        <v>65</v>
      </c>
      <c r="E182" s="19"/>
      <c r="F182" s="10" t="s">
        <v>15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1">
        <v>0</v>
      </c>
      <c r="M182" s="11">
        <v>0</v>
      </c>
      <c r="N182" s="11">
        <v>4000</v>
      </c>
      <c r="O182" s="11">
        <f t="shared" si="5"/>
        <v>4000</v>
      </c>
      <c r="P182" s="1">
        <f>7000-2650.3</f>
        <v>4349.7</v>
      </c>
    </row>
    <row r="183" spans="1:16" ht="66" customHeight="1" x14ac:dyDescent="0.2">
      <c r="A183" s="98"/>
      <c r="B183" s="99"/>
      <c r="C183" s="87" t="s">
        <v>160</v>
      </c>
      <c r="D183" s="10" t="s">
        <v>65</v>
      </c>
      <c r="E183" s="19"/>
      <c r="F183" s="10" t="s">
        <v>15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1">
        <v>0</v>
      </c>
      <c r="M183" s="11">
        <f>7000-2000</f>
        <v>5000</v>
      </c>
      <c r="N183" s="11">
        <v>7700</v>
      </c>
      <c r="O183" s="11">
        <f>SUM(G183:N183)</f>
        <v>12700</v>
      </c>
      <c r="P183" s="1">
        <f>14700-10350.3</f>
        <v>4349.7000000000007</v>
      </c>
    </row>
    <row r="184" spans="1:16" ht="82.5" customHeight="1" x14ac:dyDescent="0.2">
      <c r="A184" s="98"/>
      <c r="B184" s="99"/>
      <c r="C184" s="87" t="s">
        <v>161</v>
      </c>
      <c r="D184" s="10" t="s">
        <v>65</v>
      </c>
      <c r="E184" s="19"/>
      <c r="F184" s="10" t="s">
        <v>15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1">
        <f>5000-2397</f>
        <v>2603</v>
      </c>
      <c r="M184" s="11">
        <f>5500</f>
        <v>5500</v>
      </c>
      <c r="N184" s="11">
        <v>0</v>
      </c>
      <c r="O184" s="11">
        <f t="shared" si="5"/>
        <v>8103</v>
      </c>
    </row>
    <row r="185" spans="1:16" ht="75" customHeight="1" x14ac:dyDescent="0.2">
      <c r="A185" s="98"/>
      <c r="B185" s="99"/>
      <c r="C185" s="17" t="s">
        <v>162</v>
      </c>
      <c r="D185" s="10" t="s">
        <v>65</v>
      </c>
      <c r="E185" s="19"/>
      <c r="F185" s="10" t="s">
        <v>15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1">
        <v>65000</v>
      </c>
      <c r="M185" s="11">
        <v>0</v>
      </c>
      <c r="N185" s="11">
        <v>0</v>
      </c>
      <c r="O185" s="11">
        <f t="shared" si="5"/>
        <v>65000</v>
      </c>
    </row>
    <row r="186" spans="1:16" ht="92.25" hidden="1" customHeight="1" x14ac:dyDescent="0.2">
      <c r="A186" s="98"/>
      <c r="B186" s="99"/>
      <c r="C186" s="87" t="s">
        <v>163</v>
      </c>
      <c r="D186" s="10" t="s">
        <v>65</v>
      </c>
      <c r="E186" s="19"/>
      <c r="F186" s="10" t="s">
        <v>74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1">
        <v>0</v>
      </c>
      <c r="M186" s="11">
        <v>0</v>
      </c>
      <c r="N186" s="11">
        <v>0</v>
      </c>
      <c r="O186" s="11">
        <f t="shared" si="5"/>
        <v>0</v>
      </c>
    </row>
    <row r="187" spans="1:16" ht="33.75" hidden="1" customHeight="1" x14ac:dyDescent="0.2">
      <c r="A187" s="98"/>
      <c r="B187" s="99"/>
      <c r="C187" s="87" t="s">
        <v>164</v>
      </c>
      <c r="D187" s="10" t="s">
        <v>65</v>
      </c>
      <c r="E187" s="19"/>
      <c r="F187" s="10" t="s">
        <v>74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1">
        <v>0</v>
      </c>
      <c r="M187" s="11">
        <v>0</v>
      </c>
      <c r="N187" s="11">
        <v>0</v>
      </c>
      <c r="O187" s="11">
        <f t="shared" si="5"/>
        <v>0</v>
      </c>
    </row>
    <row r="188" spans="1:16" ht="38.25" hidden="1" customHeight="1" x14ac:dyDescent="0.2">
      <c r="A188" s="98"/>
      <c r="B188" s="99"/>
      <c r="C188" s="87" t="s">
        <v>165</v>
      </c>
      <c r="D188" s="10" t="s">
        <v>65</v>
      </c>
      <c r="E188" s="19"/>
      <c r="F188" s="10" t="s">
        <v>74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1">
        <v>0</v>
      </c>
      <c r="M188" s="11">
        <v>0</v>
      </c>
      <c r="N188" s="11">
        <v>0</v>
      </c>
      <c r="O188" s="11">
        <f t="shared" si="5"/>
        <v>0</v>
      </c>
    </row>
    <row r="189" spans="1:16" ht="69.75" hidden="1" customHeight="1" x14ac:dyDescent="0.2">
      <c r="A189" s="98"/>
      <c r="B189" s="99"/>
      <c r="C189" s="87" t="s">
        <v>166</v>
      </c>
      <c r="D189" s="10" t="s">
        <v>65</v>
      </c>
      <c r="E189" s="19"/>
      <c r="F189" s="10" t="s">
        <v>74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1">
        <v>0</v>
      </c>
      <c r="M189" s="11">
        <v>0</v>
      </c>
      <c r="N189" s="11">
        <v>0</v>
      </c>
      <c r="O189" s="11">
        <f t="shared" si="5"/>
        <v>0</v>
      </c>
    </row>
    <row r="190" spans="1:16" ht="51" hidden="1" customHeight="1" x14ac:dyDescent="0.2">
      <c r="A190" s="98"/>
      <c r="B190" s="99"/>
      <c r="C190" s="87" t="s">
        <v>167</v>
      </c>
      <c r="D190" s="10" t="s">
        <v>65</v>
      </c>
      <c r="E190" s="19"/>
      <c r="F190" s="10" t="s">
        <v>74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1">
        <v>0</v>
      </c>
      <c r="M190" s="11">
        <v>0</v>
      </c>
      <c r="N190" s="11">
        <v>0</v>
      </c>
      <c r="O190" s="11">
        <f t="shared" si="5"/>
        <v>0</v>
      </c>
    </row>
    <row r="191" spans="1:16" ht="36" hidden="1" customHeight="1" x14ac:dyDescent="0.2">
      <c r="A191" s="98"/>
      <c r="B191" s="99"/>
      <c r="C191" s="87" t="s">
        <v>168</v>
      </c>
      <c r="D191" s="10" t="s">
        <v>65</v>
      </c>
      <c r="E191" s="19"/>
      <c r="F191" s="10" t="s">
        <v>74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1">
        <v>0</v>
      </c>
      <c r="M191" s="11">
        <v>0</v>
      </c>
      <c r="N191" s="11">
        <v>0</v>
      </c>
      <c r="O191" s="11">
        <f t="shared" si="5"/>
        <v>0</v>
      </c>
    </row>
    <row r="192" spans="1:16" ht="51" hidden="1" customHeight="1" x14ac:dyDescent="0.2">
      <c r="A192" s="98"/>
      <c r="B192" s="99"/>
      <c r="C192" s="87" t="s">
        <v>169</v>
      </c>
      <c r="D192" s="10" t="s">
        <v>65</v>
      </c>
      <c r="E192" s="19"/>
      <c r="F192" s="10" t="s">
        <v>74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1">
        <v>0</v>
      </c>
      <c r="M192" s="11">
        <v>0</v>
      </c>
      <c r="N192" s="11">
        <v>0</v>
      </c>
      <c r="O192" s="11">
        <f t="shared" si="5"/>
        <v>0</v>
      </c>
    </row>
    <row r="193" spans="1:16" ht="141" hidden="1" customHeight="1" x14ac:dyDescent="0.2">
      <c r="A193" s="98"/>
      <c r="B193" s="99"/>
      <c r="C193" s="87" t="s">
        <v>170</v>
      </c>
      <c r="D193" s="10" t="s">
        <v>65</v>
      </c>
      <c r="E193" s="19"/>
      <c r="F193" s="10" t="s">
        <v>74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1">
        <v>0</v>
      </c>
      <c r="M193" s="11">
        <v>0</v>
      </c>
      <c r="N193" s="11">
        <v>0</v>
      </c>
      <c r="O193" s="11">
        <f t="shared" si="5"/>
        <v>0</v>
      </c>
    </row>
    <row r="194" spans="1:16" ht="92.25" customHeight="1" x14ac:dyDescent="0.2">
      <c r="A194" s="98"/>
      <c r="B194" s="99"/>
      <c r="C194" s="87" t="s">
        <v>171</v>
      </c>
      <c r="D194" s="10" t="s">
        <v>65</v>
      </c>
      <c r="E194" s="19"/>
      <c r="F194" s="10" t="s">
        <v>15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1">
        <v>0</v>
      </c>
      <c r="M194" s="11">
        <f>7700-7700</f>
        <v>0</v>
      </c>
      <c r="N194" s="11">
        <v>0</v>
      </c>
      <c r="O194" s="11">
        <f t="shared" si="5"/>
        <v>0</v>
      </c>
    </row>
    <row r="195" spans="1:16" ht="96.75" customHeight="1" x14ac:dyDescent="0.2">
      <c r="A195" s="98"/>
      <c r="B195" s="99"/>
      <c r="C195" s="87" t="s">
        <v>172</v>
      </c>
      <c r="D195" s="10" t="s">
        <v>65</v>
      </c>
      <c r="E195" s="19"/>
      <c r="F195" s="10" t="s">
        <v>15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1">
        <v>0</v>
      </c>
      <c r="M195" s="11">
        <v>0</v>
      </c>
      <c r="N195" s="11">
        <v>8500</v>
      </c>
      <c r="O195" s="11">
        <f t="shared" si="5"/>
        <v>8500</v>
      </c>
    </row>
    <row r="196" spans="1:16" ht="135" customHeight="1" x14ac:dyDescent="0.2">
      <c r="A196" s="100"/>
      <c r="B196" s="101"/>
      <c r="C196" s="22" t="s">
        <v>173</v>
      </c>
      <c r="D196" s="23" t="s">
        <v>65</v>
      </c>
      <c r="E196" s="67"/>
      <c r="F196" s="23" t="s">
        <v>15</v>
      </c>
      <c r="G196" s="91">
        <v>0</v>
      </c>
      <c r="H196" s="18">
        <v>0</v>
      </c>
      <c r="I196" s="18">
        <v>0</v>
      </c>
      <c r="J196" s="18">
        <v>0</v>
      </c>
      <c r="K196" s="18">
        <v>0</v>
      </c>
      <c r="L196" s="11">
        <v>78600</v>
      </c>
      <c r="M196" s="11">
        <v>78400</v>
      </c>
      <c r="N196" s="11">
        <v>78500</v>
      </c>
      <c r="O196" s="11">
        <f>SUM(G196:N196)</f>
        <v>235500</v>
      </c>
    </row>
    <row r="197" spans="1:16" ht="20.25" customHeight="1" x14ac:dyDescent="0.2">
      <c r="A197" s="241">
        <v>15</v>
      </c>
      <c r="B197" s="241"/>
      <c r="C197" s="241"/>
      <c r="D197" s="241"/>
      <c r="E197" s="241"/>
      <c r="F197" s="241"/>
      <c r="G197" s="241"/>
      <c r="H197" s="241"/>
      <c r="I197" s="241"/>
      <c r="J197" s="241"/>
      <c r="K197" s="241"/>
      <c r="L197" s="241"/>
      <c r="M197" s="241"/>
      <c r="N197" s="241"/>
      <c r="O197" s="241"/>
    </row>
    <row r="198" spans="1:16" ht="14.25" customHeight="1" x14ac:dyDescent="0.2">
      <c r="A198" s="246" t="s">
        <v>26</v>
      </c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</row>
    <row r="199" spans="1:16" ht="36" customHeight="1" x14ac:dyDescent="0.2">
      <c r="A199" s="7">
        <v>1</v>
      </c>
      <c r="B199" s="7">
        <v>2</v>
      </c>
      <c r="C199" s="41">
        <v>3</v>
      </c>
      <c r="D199" s="7">
        <v>4</v>
      </c>
      <c r="E199" s="7">
        <v>5</v>
      </c>
      <c r="F199" s="7">
        <v>6</v>
      </c>
      <c r="G199" s="7">
        <v>7</v>
      </c>
      <c r="H199" s="7">
        <v>8</v>
      </c>
      <c r="I199" s="7">
        <v>9</v>
      </c>
      <c r="J199" s="7">
        <v>10</v>
      </c>
      <c r="K199" s="7">
        <v>11</v>
      </c>
      <c r="L199" s="7">
        <v>12</v>
      </c>
      <c r="M199" s="7">
        <v>13</v>
      </c>
      <c r="N199" s="7">
        <v>14</v>
      </c>
      <c r="O199" s="7">
        <v>15</v>
      </c>
    </row>
    <row r="200" spans="1:16" ht="70.5" customHeight="1" x14ac:dyDescent="0.2">
      <c r="A200" s="98"/>
      <c r="B200" s="99"/>
      <c r="C200" s="17" t="s">
        <v>174</v>
      </c>
      <c r="D200" s="10" t="s">
        <v>65</v>
      </c>
      <c r="E200" s="19"/>
      <c r="F200" s="10" t="s">
        <v>15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1">
        <v>46839</v>
      </c>
      <c r="M200" s="11">
        <v>52023</v>
      </c>
      <c r="N200" s="11">
        <v>100985</v>
      </c>
      <c r="O200" s="11">
        <f t="shared" si="5"/>
        <v>199847</v>
      </c>
      <c r="P200" s="1">
        <f>1659827410-700000</f>
        <v>1659127410</v>
      </c>
    </row>
    <row r="201" spans="1:16" ht="72.75" customHeight="1" x14ac:dyDescent="0.2">
      <c r="A201" s="98"/>
      <c r="B201" s="99"/>
      <c r="C201" s="115" t="s">
        <v>175</v>
      </c>
      <c r="D201" s="51" t="s">
        <v>65</v>
      </c>
      <c r="E201" s="69"/>
      <c r="F201" s="46" t="s">
        <v>15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1">
        <v>487872.01</v>
      </c>
      <c r="M201" s="11">
        <f>565781.7-700</f>
        <v>565081.69999999995</v>
      </c>
      <c r="N201" s="11">
        <v>606173.69999999995</v>
      </c>
      <c r="O201" s="11">
        <f>SUM(G201:N201)</f>
        <v>1659127.41</v>
      </c>
      <c r="P201" s="1">
        <f>565781700-700000</f>
        <v>565081700</v>
      </c>
    </row>
    <row r="202" spans="1:16" ht="72.75" customHeight="1" x14ac:dyDescent="0.2">
      <c r="A202" s="98"/>
      <c r="B202" s="116"/>
      <c r="C202" s="117" t="s">
        <v>176</v>
      </c>
      <c r="D202" s="46">
        <v>2021</v>
      </c>
      <c r="E202" s="29"/>
      <c r="F202" s="10" t="s">
        <v>15</v>
      </c>
      <c r="G202" s="18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241.5</v>
      </c>
      <c r="M202" s="11">
        <v>0</v>
      </c>
      <c r="N202" s="11">
        <v>0</v>
      </c>
      <c r="O202" s="11">
        <f t="shared" ref="O202:O210" si="6">SUM(G202:N202)</f>
        <v>241.5</v>
      </c>
    </row>
    <row r="203" spans="1:16" ht="73.5" customHeight="1" x14ac:dyDescent="0.2">
      <c r="A203" s="98"/>
      <c r="B203" s="116"/>
      <c r="C203" s="118" t="s">
        <v>177</v>
      </c>
      <c r="D203" s="46">
        <v>2021</v>
      </c>
      <c r="E203" s="29"/>
      <c r="F203" s="10" t="s">
        <v>15</v>
      </c>
      <c r="G203" s="18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f>0+400</f>
        <v>400</v>
      </c>
      <c r="M203" s="11">
        <v>0</v>
      </c>
      <c r="N203" s="11">
        <v>0</v>
      </c>
      <c r="O203" s="11">
        <f t="shared" si="6"/>
        <v>400</v>
      </c>
    </row>
    <row r="204" spans="1:16" ht="71.25" customHeight="1" x14ac:dyDescent="0.2">
      <c r="A204" s="98"/>
      <c r="B204" s="116"/>
      <c r="C204" s="118" t="s">
        <v>178</v>
      </c>
      <c r="D204" s="46">
        <v>2021</v>
      </c>
      <c r="E204" s="29"/>
      <c r="F204" s="10" t="s">
        <v>15</v>
      </c>
      <c r="G204" s="18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f>0+300</f>
        <v>300</v>
      </c>
      <c r="M204" s="11">
        <v>0</v>
      </c>
      <c r="N204" s="11">
        <v>0</v>
      </c>
      <c r="O204" s="11">
        <f t="shared" si="6"/>
        <v>300</v>
      </c>
    </row>
    <row r="205" spans="1:16" ht="70.5" customHeight="1" x14ac:dyDescent="0.2">
      <c r="A205" s="98"/>
      <c r="B205" s="116"/>
      <c r="C205" s="118" t="s">
        <v>179</v>
      </c>
      <c r="D205" s="46">
        <v>2021</v>
      </c>
      <c r="E205" s="29"/>
      <c r="F205" s="10" t="s">
        <v>15</v>
      </c>
      <c r="G205" s="18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2397</v>
      </c>
      <c r="M205" s="11">
        <v>0</v>
      </c>
      <c r="N205" s="11">
        <v>0</v>
      </c>
      <c r="O205" s="11">
        <f t="shared" si="6"/>
        <v>2397</v>
      </c>
    </row>
    <row r="206" spans="1:16" ht="72.75" customHeight="1" x14ac:dyDescent="0.2">
      <c r="A206" s="102"/>
      <c r="B206" s="104"/>
      <c r="C206" s="113" t="s">
        <v>180</v>
      </c>
      <c r="D206" s="119">
        <v>2022</v>
      </c>
      <c r="E206" s="36"/>
      <c r="F206" s="60" t="s">
        <v>15</v>
      </c>
      <c r="G206" s="18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2500</v>
      </c>
      <c r="N206" s="11">
        <v>0</v>
      </c>
      <c r="O206" s="11">
        <f t="shared" si="6"/>
        <v>2500</v>
      </c>
    </row>
    <row r="207" spans="1:16" ht="68.25" customHeight="1" x14ac:dyDescent="0.2">
      <c r="A207" s="102"/>
      <c r="B207" s="104"/>
      <c r="C207" s="113" t="s">
        <v>181</v>
      </c>
      <c r="D207" s="44">
        <v>2021</v>
      </c>
      <c r="E207" s="36"/>
      <c r="F207" s="46" t="s">
        <v>15</v>
      </c>
      <c r="G207" s="18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6400</v>
      </c>
      <c r="N207" s="11">
        <v>0</v>
      </c>
      <c r="O207" s="11">
        <f t="shared" si="6"/>
        <v>6400</v>
      </c>
    </row>
    <row r="208" spans="1:16" ht="70.5" customHeight="1" x14ac:dyDescent="0.2">
      <c r="A208" s="98"/>
      <c r="B208" s="116"/>
      <c r="C208" s="118" t="s">
        <v>182</v>
      </c>
      <c r="D208" s="46">
        <v>2021</v>
      </c>
      <c r="E208" s="29"/>
      <c r="F208" s="10" t="s">
        <v>15</v>
      </c>
      <c r="G208" s="18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2600</v>
      </c>
      <c r="N208" s="11">
        <v>0</v>
      </c>
      <c r="O208" s="11">
        <f t="shared" si="6"/>
        <v>2600</v>
      </c>
    </row>
    <row r="209" spans="1:16" ht="70.5" customHeight="1" x14ac:dyDescent="0.2">
      <c r="A209" s="98"/>
      <c r="B209" s="116"/>
      <c r="C209" s="118" t="s">
        <v>183</v>
      </c>
      <c r="D209" s="46">
        <v>2021</v>
      </c>
      <c r="E209" s="24"/>
      <c r="F209" s="10" t="s">
        <v>15</v>
      </c>
      <c r="G209" s="18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1500</v>
      </c>
      <c r="N209" s="11">
        <v>0</v>
      </c>
      <c r="O209" s="11">
        <f>SUM(G209:N209)</f>
        <v>1500</v>
      </c>
      <c r="P209" s="1">
        <f>241.5+400+300+2397</f>
        <v>3338.5</v>
      </c>
    </row>
    <row r="210" spans="1:16" ht="69.75" customHeight="1" x14ac:dyDescent="0.2">
      <c r="A210" s="98"/>
      <c r="B210" s="116"/>
      <c r="C210" s="118" t="s">
        <v>184</v>
      </c>
      <c r="D210" s="46">
        <v>2022</v>
      </c>
      <c r="E210" s="24"/>
      <c r="F210" s="10" t="s">
        <v>15</v>
      </c>
      <c r="G210" s="18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700</v>
      </c>
      <c r="N210" s="11">
        <v>0</v>
      </c>
      <c r="O210" s="11">
        <f t="shared" si="6"/>
        <v>700</v>
      </c>
      <c r="P210" s="1">
        <f>4349.7-700</f>
        <v>3649.7</v>
      </c>
    </row>
    <row r="211" spans="1:16" ht="55.5" customHeight="1" x14ac:dyDescent="0.2">
      <c r="A211" s="263" t="s">
        <v>81</v>
      </c>
      <c r="B211" s="264"/>
      <c r="C211" s="265"/>
      <c r="D211" s="266"/>
      <c r="E211" s="267"/>
      <c r="F211" s="120" t="s">
        <v>115</v>
      </c>
      <c r="G211" s="121">
        <f>G91+G92+G93+G94+G95+G96+G97+G98+G102+G103+G104+G105+G106+G107+G108+G109+G110+G114+G115+G117+G116+G120</f>
        <v>138423.32</v>
      </c>
      <c r="H211" s="121">
        <f>H91+H92+H93+H94+H95+H96+H97+H98+H102+H103+H104+H105+H106+H107+H108+H109+H110+H114+H115+H117+H116+H120</f>
        <v>204758.1</v>
      </c>
      <c r="I211" s="121">
        <f>I91+I92+I93+I94+I95+I96+I97+I98+I102+I103+I104+I105+I106+I107+I108+I109+I110+I114+I115+I117+I116+I120</f>
        <v>220709</v>
      </c>
      <c r="J211" s="121">
        <f>J91+J92+J93+J94+J95+J96+J97+J98+J102+J103+J104+J105+J106+J107+J108+J109+J110+J114+J115+J117+J116+J120</f>
        <v>313192.90000000002</v>
      </c>
      <c r="K211" s="121">
        <v>421613.6</v>
      </c>
      <c r="L211" s="121">
        <f>L91+L92+L93+L94+L95+L96+L97+L98+L102+L103+L104+L105+L106+L107+L108+L109+L110+L114+L115+L116+L117+L118+L119+L120+L121+L122+L126+L127+L128+L129+L130+L131+L132+L133+L134+L135+L136+L140+L141+L142+L143+L144+L145+L146+L147+L148+L149+L153+L154+L155+L156+L157+L158+L159+L160+L161+L165+L166+L167+L168+L169+L170+L171+L172+L173+L174+L175+L179+L180+L181+L182+L183+L184+L185+L186+L187+L188+L189+L190+L191+L192+L193+L194+L195+L196+L200+L201+L205+L203+L204+L202</f>
        <v>1308589.8</v>
      </c>
      <c r="M211" s="121">
        <f>M91+M92+M93+M94+M95+M96+M97+M98+M102+M103+M104+M105+M106+M107+M108+M109+M110+M114+M115+M116+M117+M118+M119+M120+M121+M122+M126+M127+M128+M129+M130+M131+M132+M133+M134+M135+M136+M140+M141+M142+M143+M144+M145+M146+M147+M148+M149+M153+M154+M155+M156+M157+M158+M159+M160+M161+M165+M166+M167+M168+M169+M170+M171+M172+M173+M174+M175+M179+M180+M181+M182+M183+M184+M185+M186+M187+M188+M189+M190+M191+M192+M193+M194+M195+M196+M200+M201++M206+M207+M208+M210+M209</f>
        <v>1406025</v>
      </c>
      <c r="N211" s="121">
        <f>N91+N92+N93+N94+N95+N96+N97+N98+N102+N103+N104+N105+N106+N107+N108+N109+N110+N114+N115+N116+N117+N118+N119+N120+N121+N122+N126+N127+N128+N129+N130+N131+N132+N133+N134+N135+N136+N140+N141+N142+N143+N144+N145+N146+N147+N148+N149+N153+N154+N155+N156+N157+N158+N159+N160+N161+N165+N166+N167+N168+N169+N170+N171+N172+N173+N174+N175+N179+N180+N181+N182+N183+N184+N185+N186+N187+N188+N189+N190+N191+N192+N193+N194+N195+N196+N200+N201++N206+N207+N208+N210+N209</f>
        <v>1203878.7</v>
      </c>
      <c r="O211" s="122">
        <f>O91+O92+O93+O94+O95+O96+O97+O98+O102+O103+O104+O105+O106+O107+O108+O109+O110+O114+O115+O116+O117+O118+O119+O120+O121+O122+O126+O127+O128+O129+O130+O131+O132+O133+O134+O135+O136+O140+O141+O142+O143+O144+O145+O146+O147+O148+O149+O153+O154+O155+O156+O157+O158+O159+O160+O161+O165+O166+O167+O168+O169+O170+O171+O172+O173+O174+O175+O179+O180+O181+O182+O183+O184+O185+O186+O187+O188+O189+O190+O191+O192+O193+O194+O195+O196+O200+O201+O202+O203+O204+O205+O206+O207+O208+O210+O209</f>
        <v>5217190.42</v>
      </c>
      <c r="P211" s="1">
        <f>5217190.42-5213851.92</f>
        <v>3338.5</v>
      </c>
    </row>
    <row r="212" spans="1:16" ht="20.25" customHeight="1" x14ac:dyDescent="0.2">
      <c r="A212" s="241">
        <v>16</v>
      </c>
      <c r="B212" s="241"/>
      <c r="C212" s="241"/>
      <c r="D212" s="241"/>
      <c r="E212" s="241"/>
      <c r="F212" s="241"/>
      <c r="G212" s="241"/>
      <c r="H212" s="241"/>
      <c r="I212" s="241"/>
      <c r="J212" s="241"/>
      <c r="K212" s="241"/>
      <c r="L212" s="241"/>
      <c r="M212" s="241"/>
      <c r="N212" s="241"/>
      <c r="O212" s="241"/>
    </row>
    <row r="213" spans="1:16" ht="16.5" customHeight="1" x14ac:dyDescent="0.2">
      <c r="A213" s="246" t="s">
        <v>26</v>
      </c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</row>
    <row r="214" spans="1:16" ht="29.25" customHeight="1" x14ac:dyDescent="0.2">
      <c r="A214" s="40">
        <v>1</v>
      </c>
      <c r="B214" s="40">
        <v>2</v>
      </c>
      <c r="C214" s="62">
        <v>3</v>
      </c>
      <c r="D214" s="62">
        <v>4</v>
      </c>
      <c r="E214" s="40">
        <v>5</v>
      </c>
      <c r="F214" s="27">
        <v>6</v>
      </c>
      <c r="G214" s="7">
        <v>7</v>
      </c>
      <c r="H214" s="7">
        <v>8</v>
      </c>
      <c r="I214" s="7">
        <v>9</v>
      </c>
      <c r="J214" s="7">
        <v>10</v>
      </c>
      <c r="K214" s="7">
        <v>11</v>
      </c>
      <c r="L214" s="7">
        <v>12</v>
      </c>
      <c r="M214" s="7">
        <v>13</v>
      </c>
      <c r="N214" s="7">
        <v>14</v>
      </c>
      <c r="O214" s="7">
        <v>15</v>
      </c>
    </row>
    <row r="215" spans="1:16" ht="69" customHeight="1" x14ac:dyDescent="0.2">
      <c r="A215" s="123">
        <v>3</v>
      </c>
      <c r="B215" s="268" t="s">
        <v>185</v>
      </c>
      <c r="C215" s="124" t="s">
        <v>186</v>
      </c>
      <c r="D215" s="125" t="s">
        <v>46</v>
      </c>
      <c r="E215" s="269" t="s">
        <v>187</v>
      </c>
      <c r="F215" s="46" t="s">
        <v>15</v>
      </c>
      <c r="G215" s="11">
        <v>0</v>
      </c>
      <c r="H215" s="11">
        <v>0</v>
      </c>
      <c r="I215" s="11">
        <v>0</v>
      </c>
      <c r="J215" s="11">
        <v>4059.9</v>
      </c>
      <c r="K215" s="11">
        <v>20246.5</v>
      </c>
      <c r="L215" s="11">
        <v>48490</v>
      </c>
      <c r="M215" s="11">
        <v>51250</v>
      </c>
      <c r="N215" s="11">
        <f>53650-10623.9</f>
        <v>43026.1</v>
      </c>
      <c r="O215" s="11">
        <f>SUM(G215:N215)</f>
        <v>167072.5</v>
      </c>
    </row>
    <row r="216" spans="1:16" ht="44.25" hidden="1" customHeight="1" x14ac:dyDescent="0.2">
      <c r="A216" s="126"/>
      <c r="B216" s="259"/>
      <c r="C216" s="127" t="s">
        <v>188</v>
      </c>
      <c r="D216" s="51" t="s">
        <v>65</v>
      </c>
      <c r="E216" s="260"/>
      <c r="F216" s="128" t="s">
        <v>74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/>
      <c r="N216" s="11"/>
      <c r="O216" s="11">
        <f t="shared" ref="O216:O225" si="7">SUM(G216:N216)</f>
        <v>0</v>
      </c>
    </row>
    <row r="217" spans="1:16" ht="44.25" hidden="1" customHeight="1" x14ac:dyDescent="0.2">
      <c r="A217" s="126"/>
      <c r="B217" s="259"/>
      <c r="C217" s="129" t="s">
        <v>189</v>
      </c>
      <c r="D217" s="51" t="s">
        <v>65</v>
      </c>
      <c r="E217" s="260"/>
      <c r="F217" s="128" t="s">
        <v>74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/>
      <c r="N217" s="11"/>
      <c r="O217" s="11">
        <f t="shared" si="7"/>
        <v>0</v>
      </c>
    </row>
    <row r="218" spans="1:16" ht="78.75" customHeight="1" x14ac:dyDescent="0.2">
      <c r="A218" s="130"/>
      <c r="B218" s="259"/>
      <c r="C218" s="131" t="s">
        <v>190</v>
      </c>
      <c r="D218" s="44" t="s">
        <v>46</v>
      </c>
      <c r="E218" s="260"/>
      <c r="F218" s="46" t="s">
        <v>15</v>
      </c>
      <c r="G218" s="18">
        <v>0</v>
      </c>
      <c r="H218" s="18">
        <v>0</v>
      </c>
      <c r="I218" s="18">
        <v>0</v>
      </c>
      <c r="J218" s="18">
        <v>519.4</v>
      </c>
      <c r="K218" s="18">
        <v>1000</v>
      </c>
      <c r="L218" s="18">
        <v>1000</v>
      </c>
      <c r="M218" s="18">
        <v>1070</v>
      </c>
      <c r="N218" s="18">
        <v>1070</v>
      </c>
      <c r="O218" s="11">
        <f t="shared" si="7"/>
        <v>4659.3999999999996</v>
      </c>
    </row>
    <row r="219" spans="1:16" ht="78" customHeight="1" x14ac:dyDescent="0.2">
      <c r="A219" s="130"/>
      <c r="B219" s="259"/>
      <c r="C219" s="132" t="s">
        <v>191</v>
      </c>
      <c r="D219" s="59" t="s">
        <v>62</v>
      </c>
      <c r="E219" s="69" t="s">
        <v>192</v>
      </c>
      <c r="F219" s="60" t="s">
        <v>15</v>
      </c>
      <c r="G219" s="91">
        <v>0</v>
      </c>
      <c r="H219" s="91">
        <v>0</v>
      </c>
      <c r="I219" s="91">
        <v>0</v>
      </c>
      <c r="J219" s="91">
        <v>972</v>
      </c>
      <c r="K219" s="18">
        <v>3900</v>
      </c>
      <c r="L219" s="18">
        <v>0</v>
      </c>
      <c r="M219" s="18">
        <v>0</v>
      </c>
      <c r="N219" s="18">
        <v>0</v>
      </c>
      <c r="O219" s="11">
        <f t="shared" si="7"/>
        <v>4872</v>
      </c>
    </row>
    <row r="220" spans="1:16" ht="66.75" customHeight="1" x14ac:dyDescent="0.2">
      <c r="A220" s="133"/>
      <c r="B220" s="134"/>
      <c r="C220" s="135" t="s">
        <v>193</v>
      </c>
      <c r="D220" s="106">
        <v>2020</v>
      </c>
      <c r="E220" s="134"/>
      <c r="F220" s="46" t="s">
        <v>15</v>
      </c>
      <c r="G220" s="18">
        <v>0</v>
      </c>
      <c r="H220" s="18">
        <v>0</v>
      </c>
      <c r="I220" s="18">
        <v>0</v>
      </c>
      <c r="J220" s="18">
        <v>0</v>
      </c>
      <c r="K220" s="18">
        <v>900</v>
      </c>
      <c r="L220" s="18">
        <v>0</v>
      </c>
      <c r="M220" s="18">
        <v>0</v>
      </c>
      <c r="N220" s="18">
        <v>0</v>
      </c>
      <c r="O220" s="11">
        <f>SUM(G220:N220)</f>
        <v>900</v>
      </c>
    </row>
    <row r="221" spans="1:16" ht="72" customHeight="1" x14ac:dyDescent="0.2">
      <c r="A221" s="133"/>
      <c r="B221" s="134"/>
      <c r="C221" s="131" t="s">
        <v>194</v>
      </c>
      <c r="D221" s="114" t="s">
        <v>100</v>
      </c>
      <c r="E221" s="134"/>
      <c r="F221" s="46" t="s">
        <v>15</v>
      </c>
      <c r="G221" s="18">
        <v>0</v>
      </c>
      <c r="H221" s="18">
        <v>0</v>
      </c>
      <c r="I221" s="18">
        <v>0</v>
      </c>
      <c r="J221" s="18">
        <v>0</v>
      </c>
      <c r="K221" s="18">
        <v>350</v>
      </c>
      <c r="L221" s="18">
        <v>370</v>
      </c>
      <c r="M221" s="18">
        <v>0</v>
      </c>
      <c r="N221" s="18">
        <v>0</v>
      </c>
      <c r="O221" s="11">
        <f>SUM(G221:N221)</f>
        <v>720</v>
      </c>
    </row>
    <row r="222" spans="1:16" ht="77.25" customHeight="1" x14ac:dyDescent="0.2">
      <c r="A222" s="133"/>
      <c r="B222" s="134"/>
      <c r="C222" s="81" t="s">
        <v>195</v>
      </c>
      <c r="D222" s="59" t="s">
        <v>100</v>
      </c>
      <c r="E222" s="134"/>
      <c r="F222" s="60" t="s">
        <v>15</v>
      </c>
      <c r="G222" s="91">
        <v>0</v>
      </c>
      <c r="H222" s="18">
        <v>0</v>
      </c>
      <c r="I222" s="18">
        <v>0</v>
      </c>
      <c r="J222" s="18">
        <v>0</v>
      </c>
      <c r="K222" s="18">
        <v>1000</v>
      </c>
      <c r="L222" s="18">
        <v>3000</v>
      </c>
      <c r="M222" s="18">
        <v>3000</v>
      </c>
      <c r="N222" s="18">
        <v>3000</v>
      </c>
      <c r="O222" s="11">
        <f>SUM(G222:N222)</f>
        <v>10000</v>
      </c>
    </row>
    <row r="223" spans="1:16" ht="71.25" customHeight="1" x14ac:dyDescent="0.2">
      <c r="A223" s="130"/>
      <c r="B223" s="30"/>
      <c r="C223" s="82" t="s">
        <v>196</v>
      </c>
      <c r="D223" s="51">
        <v>2020</v>
      </c>
      <c r="E223" s="36"/>
      <c r="F223" s="46" t="s">
        <v>15</v>
      </c>
      <c r="G223" s="18">
        <v>0</v>
      </c>
      <c r="H223" s="18">
        <v>0</v>
      </c>
      <c r="I223" s="18">
        <v>0</v>
      </c>
      <c r="J223" s="18">
        <v>0</v>
      </c>
      <c r="K223" s="18">
        <v>2450</v>
      </c>
      <c r="L223" s="18">
        <v>0</v>
      </c>
      <c r="M223" s="18">
        <v>0</v>
      </c>
      <c r="N223" s="18">
        <v>0</v>
      </c>
      <c r="O223" s="11">
        <f t="shared" si="7"/>
        <v>2450</v>
      </c>
    </row>
    <row r="224" spans="1:16" ht="89.25" customHeight="1" x14ac:dyDescent="0.2">
      <c r="A224" s="130"/>
      <c r="B224" s="30"/>
      <c r="C224" s="82" t="s">
        <v>197</v>
      </c>
      <c r="D224" s="51">
        <v>2020</v>
      </c>
      <c r="E224" s="36"/>
      <c r="F224" s="46" t="s">
        <v>15</v>
      </c>
      <c r="G224" s="18">
        <v>0</v>
      </c>
      <c r="H224" s="18">
        <v>0</v>
      </c>
      <c r="I224" s="18">
        <v>0</v>
      </c>
      <c r="J224" s="18">
        <v>0</v>
      </c>
      <c r="K224" s="18">
        <v>4500</v>
      </c>
      <c r="L224" s="18">
        <v>0</v>
      </c>
      <c r="M224" s="18">
        <v>0</v>
      </c>
      <c r="N224" s="18">
        <v>0</v>
      </c>
      <c r="O224" s="11">
        <f t="shared" si="7"/>
        <v>4500</v>
      </c>
    </row>
    <row r="225" spans="1:20" ht="75" customHeight="1" x14ac:dyDescent="0.2">
      <c r="A225" s="130"/>
      <c r="B225" s="30"/>
      <c r="C225" s="81" t="s">
        <v>198</v>
      </c>
      <c r="D225" s="59" t="s">
        <v>100</v>
      </c>
      <c r="E225" s="36"/>
      <c r="F225" s="46" t="s">
        <v>15</v>
      </c>
      <c r="G225" s="18">
        <v>0</v>
      </c>
      <c r="H225" s="18">
        <v>0</v>
      </c>
      <c r="I225" s="18">
        <v>0</v>
      </c>
      <c r="J225" s="18">
        <v>0</v>
      </c>
      <c r="K225" s="18">
        <v>5160</v>
      </c>
      <c r="L225" s="18">
        <v>5000</v>
      </c>
      <c r="M225" s="18">
        <v>0</v>
      </c>
      <c r="N225" s="18">
        <v>0</v>
      </c>
      <c r="O225" s="11">
        <f t="shared" si="7"/>
        <v>10160</v>
      </c>
    </row>
    <row r="226" spans="1:20" ht="112.5" customHeight="1" x14ac:dyDescent="0.2">
      <c r="A226" s="136"/>
      <c r="B226" s="32"/>
      <c r="C226" s="132" t="s">
        <v>199</v>
      </c>
      <c r="D226" s="137" t="s">
        <v>65</v>
      </c>
      <c r="E226" s="57"/>
      <c r="F226" s="60" t="s">
        <v>15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3150</v>
      </c>
      <c r="M226" s="18">
        <v>3125</v>
      </c>
      <c r="N226" s="18">
        <v>3125</v>
      </c>
      <c r="O226" s="11">
        <f>SUM(G226:N226)</f>
        <v>9400</v>
      </c>
    </row>
    <row r="227" spans="1:20" ht="15" customHeight="1" x14ac:dyDescent="0.2">
      <c r="A227" s="241">
        <v>17</v>
      </c>
      <c r="B227" s="241"/>
      <c r="C227" s="241"/>
      <c r="D227" s="241"/>
      <c r="E227" s="241"/>
      <c r="F227" s="241"/>
      <c r="G227" s="241"/>
      <c r="H227" s="241"/>
      <c r="I227" s="241"/>
      <c r="J227" s="241"/>
      <c r="K227" s="241"/>
      <c r="L227" s="241"/>
      <c r="M227" s="241"/>
      <c r="N227" s="241"/>
      <c r="O227" s="241"/>
    </row>
    <row r="228" spans="1:20" ht="12" customHeight="1" x14ac:dyDescent="0.2">
      <c r="A228" s="246" t="s">
        <v>200</v>
      </c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</row>
    <row r="229" spans="1:20" ht="14.25" customHeight="1" x14ac:dyDescent="0.2">
      <c r="A229" s="41">
        <v>1</v>
      </c>
      <c r="B229" s="41">
        <v>2</v>
      </c>
      <c r="C229" s="7">
        <v>3</v>
      </c>
      <c r="D229" s="7">
        <v>4</v>
      </c>
      <c r="E229" s="41">
        <v>5</v>
      </c>
      <c r="F229" s="7">
        <v>6</v>
      </c>
      <c r="G229" s="7">
        <v>7</v>
      </c>
      <c r="H229" s="7">
        <v>8</v>
      </c>
      <c r="I229" s="7">
        <v>9</v>
      </c>
      <c r="J229" s="7">
        <v>10</v>
      </c>
      <c r="K229" s="7">
        <v>11</v>
      </c>
      <c r="L229" s="7">
        <v>12</v>
      </c>
      <c r="M229" s="7">
        <v>13</v>
      </c>
      <c r="N229" s="7">
        <v>14</v>
      </c>
      <c r="O229" s="7">
        <v>15</v>
      </c>
    </row>
    <row r="230" spans="1:20" ht="66" customHeight="1" x14ac:dyDescent="0.2">
      <c r="A230" s="138"/>
      <c r="B230" s="139"/>
      <c r="C230" s="132" t="s">
        <v>201</v>
      </c>
      <c r="D230" s="137" t="s">
        <v>65</v>
      </c>
      <c r="E230" s="140"/>
      <c r="F230" s="46" t="s">
        <v>15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f>5350-5350</f>
        <v>0</v>
      </c>
      <c r="M230" s="18">
        <f>5350-5350</f>
        <v>0</v>
      </c>
      <c r="N230" s="18">
        <f>5350-5350</f>
        <v>0</v>
      </c>
      <c r="O230" s="11">
        <f>SUM(G230:N230)</f>
        <v>0</v>
      </c>
    </row>
    <row r="231" spans="1:20" ht="64.5" customHeight="1" x14ac:dyDescent="0.2">
      <c r="A231" s="141"/>
      <c r="B231" s="142"/>
      <c r="C231" s="135" t="s">
        <v>202</v>
      </c>
      <c r="D231" s="106" t="s">
        <v>65</v>
      </c>
      <c r="E231" s="36"/>
      <c r="F231" s="143" t="s">
        <v>15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6500</v>
      </c>
      <c r="M231" s="18">
        <v>750</v>
      </c>
      <c r="N231" s="18">
        <v>750</v>
      </c>
      <c r="O231" s="11">
        <f>SUM(G231:N231)</f>
        <v>8000</v>
      </c>
    </row>
    <row r="232" spans="1:20" ht="147.75" customHeight="1" x14ac:dyDescent="0.2">
      <c r="A232" s="144"/>
      <c r="B232" s="145"/>
      <c r="C232" s="146" t="s">
        <v>203</v>
      </c>
      <c r="D232" s="109">
        <v>2023</v>
      </c>
      <c r="E232" s="57"/>
      <c r="F232" s="109" t="s">
        <v>15</v>
      </c>
      <c r="G232" s="147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48">
        <v>10623.9</v>
      </c>
      <c r="O232" s="149">
        <f>SUM(G232:N232)</f>
        <v>10623.9</v>
      </c>
    </row>
    <row r="233" spans="1:20" ht="66" customHeight="1" x14ac:dyDescent="0.2">
      <c r="A233" s="273" t="s">
        <v>81</v>
      </c>
      <c r="B233" s="274"/>
      <c r="C233" s="150"/>
      <c r="D233" s="151"/>
      <c r="E233" s="152"/>
      <c r="F233" s="153" t="s">
        <v>15</v>
      </c>
      <c r="G233" s="122">
        <f>G215+G218+G219+G220+G221+G222+G223+G224+G225+G226+G230+G231+G232</f>
        <v>0</v>
      </c>
      <c r="H233" s="122">
        <f t="shared" ref="H233:N233" si="8">H215+H218+H219+H220+H221+H222+H223+H224+H225+H226+H230+H231+H232</f>
        <v>0</v>
      </c>
      <c r="I233" s="122">
        <f t="shared" si="8"/>
        <v>0</v>
      </c>
      <c r="J233" s="122">
        <f t="shared" si="8"/>
        <v>5551.3</v>
      </c>
      <c r="K233" s="122">
        <f t="shared" si="8"/>
        <v>39506.5</v>
      </c>
      <c r="L233" s="122">
        <f t="shared" si="8"/>
        <v>67510</v>
      </c>
      <c r="M233" s="122">
        <f t="shared" si="8"/>
        <v>59195</v>
      </c>
      <c r="N233" s="122">
        <f t="shared" si="8"/>
        <v>61595</v>
      </c>
      <c r="O233" s="122">
        <f>O215+O218+O219+O220+O221+O222+O223+O224+O225+O226+O230+O231+O232</f>
        <v>233357.8</v>
      </c>
      <c r="Q233" s="12"/>
      <c r="R233" s="12"/>
      <c r="S233" s="12"/>
      <c r="T233" s="12"/>
    </row>
    <row r="234" spans="1:20" ht="85.5" customHeight="1" x14ac:dyDescent="0.2">
      <c r="A234" s="154">
        <v>4</v>
      </c>
      <c r="B234" s="155" t="s">
        <v>204</v>
      </c>
      <c r="C234" s="92" t="s">
        <v>205</v>
      </c>
      <c r="D234" s="23">
        <v>2020</v>
      </c>
      <c r="E234" s="156" t="s">
        <v>206</v>
      </c>
      <c r="F234" s="23" t="s">
        <v>15</v>
      </c>
      <c r="G234" s="91">
        <v>0</v>
      </c>
      <c r="H234" s="18">
        <v>0</v>
      </c>
      <c r="I234" s="18">
        <v>0</v>
      </c>
      <c r="J234" s="18">
        <v>0</v>
      </c>
      <c r="K234" s="18">
        <v>167.43</v>
      </c>
      <c r="L234" s="18">
        <v>0</v>
      </c>
      <c r="M234" s="18">
        <v>0</v>
      </c>
      <c r="N234" s="18">
        <v>0</v>
      </c>
      <c r="O234" s="11">
        <f>SUM(G234:N234)</f>
        <v>167.43</v>
      </c>
      <c r="Q234" s="12"/>
      <c r="R234" s="12"/>
      <c r="S234" s="12"/>
      <c r="T234" s="12"/>
    </row>
    <row r="235" spans="1:20" ht="114.75" customHeight="1" x14ac:dyDescent="0.2">
      <c r="A235" s="157"/>
      <c r="B235" s="30"/>
      <c r="C235" s="82" t="s">
        <v>207</v>
      </c>
      <c r="D235" s="10" t="s">
        <v>20</v>
      </c>
      <c r="E235" s="158" t="s">
        <v>208</v>
      </c>
      <c r="F235" s="10" t="s">
        <v>15</v>
      </c>
      <c r="G235" s="11">
        <v>199.92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f>SUM(G235:N235)</f>
        <v>199.92</v>
      </c>
    </row>
    <row r="236" spans="1:20" ht="90" customHeight="1" x14ac:dyDescent="0.2">
      <c r="A236" s="159"/>
      <c r="B236" s="160"/>
      <c r="C236" s="84" t="s">
        <v>209</v>
      </c>
      <c r="D236" s="10">
        <v>2021</v>
      </c>
      <c r="E236" s="158" t="s">
        <v>206</v>
      </c>
      <c r="F236" s="10" t="s">
        <v>15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485.1</v>
      </c>
      <c r="M236" s="18">
        <v>0</v>
      </c>
      <c r="N236" s="18">
        <v>0</v>
      </c>
      <c r="O236" s="11">
        <f>SUM(G236:N236)</f>
        <v>485.1</v>
      </c>
    </row>
    <row r="237" spans="1:20" ht="90" customHeight="1" x14ac:dyDescent="0.2">
      <c r="A237" s="161"/>
      <c r="B237" s="162"/>
      <c r="C237" s="84" t="s">
        <v>210</v>
      </c>
      <c r="D237" s="10">
        <v>2022</v>
      </c>
      <c r="E237" s="158" t="s">
        <v>206</v>
      </c>
      <c r="F237" s="10" t="s">
        <v>15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488.9</v>
      </c>
      <c r="N237" s="18">
        <v>0</v>
      </c>
      <c r="O237" s="11">
        <f>SUM(G237:N237)</f>
        <v>488.9</v>
      </c>
    </row>
    <row r="238" spans="1:20" ht="65.25" customHeight="1" x14ac:dyDescent="0.2">
      <c r="A238" s="275" t="s">
        <v>81</v>
      </c>
      <c r="B238" s="275"/>
      <c r="C238" s="276"/>
      <c r="D238" s="276"/>
      <c r="E238" s="276"/>
      <c r="F238" s="10" t="s">
        <v>15</v>
      </c>
      <c r="G238" s="122">
        <f t="shared" ref="G238:N238" si="9">G234+G235+G236</f>
        <v>199.92</v>
      </c>
      <c r="H238" s="122">
        <f t="shared" si="9"/>
        <v>0</v>
      </c>
      <c r="I238" s="122">
        <f t="shared" si="9"/>
        <v>0</v>
      </c>
      <c r="J238" s="122">
        <f t="shared" si="9"/>
        <v>0</v>
      </c>
      <c r="K238" s="122">
        <f t="shared" si="9"/>
        <v>167.43</v>
      </c>
      <c r="L238" s="122">
        <f t="shared" si="9"/>
        <v>485.1</v>
      </c>
      <c r="M238" s="122">
        <f>M234+M235+M236+M237</f>
        <v>488.9</v>
      </c>
      <c r="N238" s="122">
        <f t="shared" si="9"/>
        <v>0</v>
      </c>
      <c r="O238" s="122">
        <f>O234+O235+O236+O237</f>
        <v>1341.35</v>
      </c>
    </row>
    <row r="239" spans="1:20" ht="88.5" customHeight="1" x14ac:dyDescent="0.2">
      <c r="A239" s="163">
        <v>5</v>
      </c>
      <c r="B239" s="164" t="s">
        <v>211</v>
      </c>
      <c r="C239" s="90" t="s">
        <v>212</v>
      </c>
      <c r="D239" s="165" t="s">
        <v>213</v>
      </c>
      <c r="E239" s="156" t="s">
        <v>206</v>
      </c>
      <c r="F239" s="23" t="s">
        <v>15</v>
      </c>
      <c r="G239" s="61">
        <v>0</v>
      </c>
      <c r="H239" s="11">
        <v>300</v>
      </c>
      <c r="I239" s="11">
        <v>0</v>
      </c>
      <c r="J239" s="11">
        <v>0</v>
      </c>
      <c r="K239" s="11">
        <v>0</v>
      </c>
      <c r="L239" s="11">
        <v>1469</v>
      </c>
      <c r="M239" s="11">
        <v>0</v>
      </c>
      <c r="N239" s="11">
        <v>0</v>
      </c>
      <c r="O239" s="11">
        <f>SUM(G239:N239)</f>
        <v>1769</v>
      </c>
    </row>
    <row r="240" spans="1:20" ht="19.5" customHeight="1" x14ac:dyDescent="0.2">
      <c r="A240" s="241">
        <v>18</v>
      </c>
      <c r="B240" s="241"/>
      <c r="C240" s="241"/>
      <c r="D240" s="241"/>
      <c r="E240" s="241"/>
      <c r="F240" s="241"/>
      <c r="G240" s="241"/>
      <c r="H240" s="241"/>
      <c r="I240" s="241"/>
      <c r="J240" s="241"/>
      <c r="K240" s="241"/>
      <c r="L240" s="241"/>
      <c r="M240" s="241"/>
      <c r="N240" s="241"/>
      <c r="O240" s="241"/>
    </row>
    <row r="241" spans="1:15" ht="28.5" customHeight="1" x14ac:dyDescent="0.2">
      <c r="A241" s="277" t="s">
        <v>200</v>
      </c>
      <c r="B241" s="277"/>
      <c r="C241" s="277"/>
      <c r="D241" s="277"/>
      <c r="E241" s="277"/>
      <c r="F241" s="277"/>
      <c r="G241" s="277"/>
      <c r="H241" s="277"/>
      <c r="I241" s="277"/>
      <c r="J241" s="277"/>
      <c r="K241" s="277"/>
      <c r="L241" s="277"/>
      <c r="M241" s="277"/>
      <c r="N241" s="277"/>
      <c r="O241" s="277"/>
    </row>
    <row r="242" spans="1:15" ht="28.5" customHeight="1" x14ac:dyDescent="0.2">
      <c r="A242" s="7">
        <v>1</v>
      </c>
      <c r="B242" s="7">
        <v>2</v>
      </c>
      <c r="C242" s="7">
        <v>3</v>
      </c>
      <c r="D242" s="7">
        <v>4</v>
      </c>
      <c r="E242" s="7">
        <v>5</v>
      </c>
      <c r="F242" s="7">
        <v>6</v>
      </c>
      <c r="G242" s="7">
        <v>7</v>
      </c>
      <c r="H242" s="7">
        <v>8</v>
      </c>
      <c r="I242" s="7">
        <v>9</v>
      </c>
      <c r="J242" s="7">
        <v>10</v>
      </c>
      <c r="K242" s="7">
        <v>11</v>
      </c>
      <c r="L242" s="7">
        <v>12</v>
      </c>
      <c r="M242" s="7">
        <v>13</v>
      </c>
      <c r="N242" s="7">
        <v>14</v>
      </c>
      <c r="O242" s="7">
        <v>15</v>
      </c>
    </row>
    <row r="243" spans="1:15" ht="123" customHeight="1" x14ac:dyDescent="0.2">
      <c r="A243" s="166" t="s">
        <v>115</v>
      </c>
      <c r="B243" s="167" t="s">
        <v>115</v>
      </c>
      <c r="C243" s="168" t="s">
        <v>214</v>
      </c>
      <c r="D243" s="169">
        <v>2021</v>
      </c>
      <c r="E243" s="170" t="s">
        <v>206</v>
      </c>
      <c r="F243" s="10" t="s">
        <v>15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31</v>
      </c>
      <c r="M243" s="11">
        <v>0</v>
      </c>
      <c r="N243" s="11">
        <v>0</v>
      </c>
      <c r="O243" s="11">
        <f>SUM(G243:N243)</f>
        <v>31</v>
      </c>
    </row>
    <row r="244" spans="1:15" ht="69.75" customHeight="1" x14ac:dyDescent="0.2">
      <c r="A244" s="278" t="s">
        <v>81</v>
      </c>
      <c r="B244" s="278"/>
      <c r="C244" s="279"/>
      <c r="D244" s="279"/>
      <c r="E244" s="279"/>
      <c r="F244" s="10" t="s">
        <v>15</v>
      </c>
      <c r="G244" s="171">
        <f>G239+G243</f>
        <v>0</v>
      </c>
      <c r="H244" s="171">
        <f t="shared" ref="H244:O244" si="10">H239+H243</f>
        <v>300</v>
      </c>
      <c r="I244" s="171">
        <f t="shared" si="10"/>
        <v>0</v>
      </c>
      <c r="J244" s="171">
        <f t="shared" si="10"/>
        <v>0</v>
      </c>
      <c r="K244" s="171">
        <f t="shared" si="10"/>
        <v>0</v>
      </c>
      <c r="L244" s="171">
        <f t="shared" si="10"/>
        <v>1500</v>
      </c>
      <c r="M244" s="171">
        <f t="shared" si="10"/>
        <v>0</v>
      </c>
      <c r="N244" s="171">
        <f t="shared" si="10"/>
        <v>0</v>
      </c>
      <c r="O244" s="171">
        <f t="shared" si="10"/>
        <v>1800</v>
      </c>
    </row>
    <row r="245" spans="1:15" ht="73.5" customHeight="1" x14ac:dyDescent="0.2">
      <c r="A245" s="270" t="s">
        <v>215</v>
      </c>
      <c r="B245" s="270"/>
      <c r="C245" s="172"/>
      <c r="D245" s="173"/>
      <c r="E245" s="174"/>
      <c r="F245" s="10" t="s">
        <v>15</v>
      </c>
      <c r="G245" s="175">
        <f t="shared" ref="G245:O245" si="11">G238+G87+G211+G233+G244</f>
        <v>254461.71999999997</v>
      </c>
      <c r="H245" s="175">
        <f t="shared" si="11"/>
        <v>419562.19999999995</v>
      </c>
      <c r="I245" s="175">
        <f t="shared" si="11"/>
        <v>461134.5</v>
      </c>
      <c r="J245" s="175">
        <f t="shared" si="11"/>
        <v>614158.40000000014</v>
      </c>
      <c r="K245" s="175">
        <f t="shared" si="11"/>
        <v>910764.79</v>
      </c>
      <c r="L245" s="175">
        <f t="shared" si="11"/>
        <v>2006163.4</v>
      </c>
      <c r="M245" s="175">
        <f t="shared" si="11"/>
        <v>2130497.2000000002</v>
      </c>
      <c r="N245" s="175">
        <f t="shared" si="11"/>
        <v>2120341.9</v>
      </c>
      <c r="O245" s="175">
        <f t="shared" si="11"/>
        <v>8917084.1100000013</v>
      </c>
    </row>
    <row r="246" spans="1:15" ht="0.75" customHeight="1" x14ac:dyDescent="0.2">
      <c r="A246" s="176"/>
      <c r="B246" s="177"/>
      <c r="C246" s="178"/>
      <c r="D246" s="179"/>
      <c r="E246" s="179"/>
      <c r="F246" s="180"/>
      <c r="G246" s="181"/>
      <c r="H246" s="181"/>
      <c r="I246" s="181"/>
      <c r="J246" s="181"/>
      <c r="K246" s="181"/>
      <c r="L246" s="181"/>
      <c r="M246" s="182"/>
      <c r="N246" s="182"/>
      <c r="O246" s="183"/>
    </row>
    <row r="247" spans="1:15" ht="30.75" customHeight="1" x14ac:dyDescent="0.2">
      <c r="A247" s="176"/>
      <c r="B247" s="271" t="s">
        <v>216</v>
      </c>
      <c r="C247" s="271"/>
      <c r="D247" s="271"/>
      <c r="E247" s="271"/>
      <c r="F247" s="271"/>
      <c r="G247" s="271"/>
      <c r="H247" s="271"/>
      <c r="I247" s="271"/>
      <c r="J247" s="271"/>
      <c r="K247" s="271"/>
      <c r="L247" s="271"/>
      <c r="M247" s="271"/>
      <c r="N247" s="271"/>
      <c r="O247" s="271"/>
    </row>
    <row r="248" spans="1:15" ht="72.75" customHeight="1" x14ac:dyDescent="0.25">
      <c r="B248" s="184" t="s">
        <v>115</v>
      </c>
      <c r="C248" s="184"/>
      <c r="D248" s="184"/>
      <c r="E248" s="184"/>
    </row>
    <row r="249" spans="1:15" s="185" customFormat="1" ht="27" x14ac:dyDescent="0.35">
      <c r="B249" s="272" t="s">
        <v>217</v>
      </c>
      <c r="C249" s="272"/>
      <c r="D249" s="272"/>
      <c r="E249" s="272"/>
      <c r="F249" s="272"/>
      <c r="G249" s="272"/>
      <c r="H249" s="272"/>
      <c r="I249" s="272"/>
      <c r="J249" s="272"/>
      <c r="K249" s="272"/>
    </row>
    <row r="250" spans="1:15" s="185" customFormat="1" x14ac:dyDescent="0.2"/>
    <row r="254" spans="1:15" x14ac:dyDescent="0.2">
      <c r="G254" s="12">
        <f>G245-'станом на 23.02.22'!G244</f>
        <v>0</v>
      </c>
      <c r="H254" s="12">
        <f>H245-'станом на 23.02.22'!H244</f>
        <v>0</v>
      </c>
      <c r="I254" s="12">
        <f>I245-'станом на 23.02.22'!I244</f>
        <v>0</v>
      </c>
      <c r="J254" s="12">
        <f>J245-'станом на 23.02.22'!J244</f>
        <v>0</v>
      </c>
      <c r="K254" s="12">
        <f>K245-'станом на 23.02.22'!K244</f>
        <v>0</v>
      </c>
      <c r="L254" s="12">
        <f>L245-'станом на 23.02.22'!L244</f>
        <v>0</v>
      </c>
      <c r="M254" s="12">
        <f>M245-'станом на 23.02.22'!M244</f>
        <v>0</v>
      </c>
      <c r="N254" s="12">
        <f>N245-'станом на 23.02.22'!N244</f>
        <v>77400</v>
      </c>
      <c r="O254" s="12">
        <f>O245-'станом на 23.02.22'!O244</f>
        <v>77400.000000001863</v>
      </c>
    </row>
    <row r="255" spans="1:15" x14ac:dyDescent="0.2">
      <c r="K255" s="12"/>
    </row>
  </sheetData>
  <sheetProtection selectLockedCells="1" selectUnlockedCells="1"/>
  <mergeCells count="79">
    <mergeCell ref="A245:B245"/>
    <mergeCell ref="B247:O247"/>
    <mergeCell ref="B249:K249"/>
    <mergeCell ref="A233:B233"/>
    <mergeCell ref="A238:B238"/>
    <mergeCell ref="C238:E238"/>
    <mergeCell ref="A240:O240"/>
    <mergeCell ref="A241:O241"/>
    <mergeCell ref="A244:B244"/>
    <mergeCell ref="C244:E244"/>
    <mergeCell ref="A228:O228"/>
    <mergeCell ref="A176:O176"/>
    <mergeCell ref="A177:O177"/>
    <mergeCell ref="A197:O197"/>
    <mergeCell ref="A198:O198"/>
    <mergeCell ref="A211:B211"/>
    <mergeCell ref="C211:E211"/>
    <mergeCell ref="A212:O212"/>
    <mergeCell ref="A213:O213"/>
    <mergeCell ref="B215:B219"/>
    <mergeCell ref="E215:E218"/>
    <mergeCell ref="A227:O227"/>
    <mergeCell ref="A163:O163"/>
    <mergeCell ref="A100:O100"/>
    <mergeCell ref="B109:B110"/>
    <mergeCell ref="A111:O111"/>
    <mergeCell ref="A112:O112"/>
    <mergeCell ref="A123:O123"/>
    <mergeCell ref="A124:O124"/>
    <mergeCell ref="A137:O137"/>
    <mergeCell ref="A138:O138"/>
    <mergeCell ref="A150:O150"/>
    <mergeCell ref="A151:O151"/>
    <mergeCell ref="A162:O162"/>
    <mergeCell ref="A99:O99"/>
    <mergeCell ref="A60:O60"/>
    <mergeCell ref="A61:O61"/>
    <mergeCell ref="A66:A67"/>
    <mergeCell ref="A72:O72"/>
    <mergeCell ref="A73:O73"/>
    <mergeCell ref="B77:B79"/>
    <mergeCell ref="A78:A79"/>
    <mergeCell ref="A87:B87"/>
    <mergeCell ref="A88:O88"/>
    <mergeCell ref="A89:O89"/>
    <mergeCell ref="B91:B92"/>
    <mergeCell ref="E91:E92"/>
    <mergeCell ref="A36:O36"/>
    <mergeCell ref="A43:O43"/>
    <mergeCell ref="A44:O44"/>
    <mergeCell ref="A46:A49"/>
    <mergeCell ref="D50:D55"/>
    <mergeCell ref="F50:F55"/>
    <mergeCell ref="A35:O35"/>
    <mergeCell ref="G7:O8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B12:B15"/>
    <mergeCell ref="E12:E20"/>
    <mergeCell ref="A23:O23"/>
    <mergeCell ref="A24:O24"/>
    <mergeCell ref="B26:B28"/>
    <mergeCell ref="J2:O2"/>
    <mergeCell ref="J3:O3"/>
    <mergeCell ref="M4:S4"/>
    <mergeCell ref="A5:O5"/>
    <mergeCell ref="A7:A10"/>
    <mergeCell ref="B7:B10"/>
    <mergeCell ref="C7:C10"/>
    <mergeCell ref="D7:D10"/>
    <mergeCell ref="E7:E10"/>
    <mergeCell ref="F7:F10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  <rowBreaks count="15" manualBreakCount="15">
    <brk id="22" min="1" max="14" man="1"/>
    <brk id="34" max="14" man="1"/>
    <brk id="42" max="14" man="1"/>
    <brk id="71" max="14" man="1"/>
    <brk id="87" max="14" man="1"/>
    <brk id="98" max="14" man="1"/>
    <brk id="110" max="14" man="1"/>
    <brk id="122" max="14" man="1"/>
    <brk id="136" max="14" man="1"/>
    <brk id="149" max="14" man="1"/>
    <brk id="161" max="14" man="1"/>
    <brk id="175" max="14" man="1"/>
    <brk id="196" max="14" man="1"/>
    <brk id="226" max="14" man="1"/>
    <brk id="23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view="pageBreakPreview" topLeftCell="A74" zoomScale="85" zoomScaleNormal="100" zoomScaleSheetLayoutView="85" workbookViewId="0">
      <selection activeCell="C179" sqref="C179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" width="11.28515625" style="1" bestFit="1" customWidth="1"/>
    <col min="17" max="17" width="14.140625" style="1" customWidth="1"/>
    <col min="18" max="18" width="11" style="1" customWidth="1"/>
    <col min="19" max="19" width="12.140625" style="1" customWidth="1"/>
    <col min="20" max="20" width="12" style="1" customWidth="1"/>
    <col min="21" max="16384" width="9.140625" style="1"/>
  </cols>
  <sheetData>
    <row r="1" spans="1:19" ht="21.75" customHeight="1" x14ac:dyDescent="0.3">
      <c r="K1" s="2"/>
    </row>
    <row r="2" spans="1:19" ht="21.75" customHeight="1" x14ac:dyDescent="0.2">
      <c r="A2" s="3"/>
      <c r="B2" s="3"/>
      <c r="C2" s="3"/>
      <c r="D2" s="3"/>
      <c r="E2" s="3"/>
      <c r="F2" s="3"/>
      <c r="G2" s="3"/>
      <c r="H2" s="3"/>
      <c r="I2" s="4"/>
      <c r="J2" s="280" t="s">
        <v>218</v>
      </c>
      <c r="K2" s="280"/>
      <c r="L2" s="280"/>
      <c r="M2" s="280"/>
      <c r="N2" s="280"/>
      <c r="O2" s="280"/>
    </row>
    <row r="3" spans="1:19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237" t="s">
        <v>219</v>
      </c>
      <c r="K3" s="237"/>
      <c r="L3" s="237"/>
      <c r="M3" s="237"/>
      <c r="N3" s="237"/>
      <c r="O3" s="237"/>
    </row>
    <row r="4" spans="1:19" ht="15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5"/>
      <c r="K4" s="5"/>
      <c r="L4" s="5"/>
      <c r="M4" s="237" t="s">
        <v>220</v>
      </c>
      <c r="N4" s="281"/>
      <c r="O4" s="281"/>
      <c r="P4" s="281"/>
      <c r="Q4" s="281"/>
      <c r="R4" s="281"/>
      <c r="S4" s="281"/>
    </row>
    <row r="5" spans="1:19" ht="30.75" customHeight="1" x14ac:dyDescent="0.35">
      <c r="A5" s="239" t="s">
        <v>2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</row>
    <row r="7" spans="1:19" ht="12.75" customHeight="1" x14ac:dyDescent="0.2">
      <c r="A7" s="240" t="s">
        <v>3</v>
      </c>
      <c r="B7" s="240" t="s">
        <v>4</v>
      </c>
      <c r="C7" s="240" t="s">
        <v>5</v>
      </c>
      <c r="D7" s="240" t="s">
        <v>6</v>
      </c>
      <c r="E7" s="240" t="s">
        <v>7</v>
      </c>
      <c r="F7" s="240" t="s">
        <v>8</v>
      </c>
      <c r="G7" s="240" t="s">
        <v>9</v>
      </c>
      <c r="H7" s="240"/>
      <c r="I7" s="240"/>
      <c r="J7" s="240"/>
      <c r="K7" s="240"/>
      <c r="L7" s="240"/>
      <c r="M7" s="240"/>
      <c r="N7" s="240"/>
      <c r="O7" s="240"/>
    </row>
    <row r="8" spans="1:19" x14ac:dyDescent="0.2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</row>
    <row r="9" spans="1:19" ht="12.75" customHeight="1" x14ac:dyDescent="0.2">
      <c r="A9" s="240"/>
      <c r="B9" s="240"/>
      <c r="C9" s="240"/>
      <c r="D9" s="240"/>
      <c r="E9" s="240"/>
      <c r="F9" s="240"/>
      <c r="G9" s="240">
        <v>2016</v>
      </c>
      <c r="H9" s="240">
        <v>2017</v>
      </c>
      <c r="I9" s="240">
        <v>2018</v>
      </c>
      <c r="J9" s="240">
        <v>2019</v>
      </c>
      <c r="K9" s="240">
        <v>2020</v>
      </c>
      <c r="L9" s="240">
        <v>2021</v>
      </c>
      <c r="M9" s="240">
        <v>2022</v>
      </c>
      <c r="N9" s="240">
        <v>2023</v>
      </c>
      <c r="O9" s="240" t="s">
        <v>10</v>
      </c>
    </row>
    <row r="10" spans="1:19" ht="15" customHeight="1" x14ac:dyDescent="0.2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</row>
    <row r="11" spans="1:19" ht="20.25" customHeigh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</row>
    <row r="12" spans="1:19" ht="88.5" customHeight="1" x14ac:dyDescent="0.2">
      <c r="A12" s="8">
        <v>1</v>
      </c>
      <c r="B12" s="242" t="s">
        <v>11</v>
      </c>
      <c r="C12" s="9" t="s">
        <v>12</v>
      </c>
      <c r="D12" s="10" t="s">
        <v>13</v>
      </c>
      <c r="E12" s="244" t="s">
        <v>14</v>
      </c>
      <c r="F12" s="10" t="s">
        <v>15</v>
      </c>
      <c r="G12" s="11">
        <v>73702.679999999993</v>
      </c>
      <c r="H12" s="11">
        <f>94537.8+830</f>
        <v>95367.8</v>
      </c>
      <c r="I12" s="11">
        <v>114042.5</v>
      </c>
      <c r="J12" s="11">
        <v>143546.20000000001</v>
      </c>
      <c r="K12" s="11">
        <v>227890.4</v>
      </c>
      <c r="L12" s="11">
        <f>59251.7+11539-1500+103.7+3900</f>
        <v>73294.399999999994</v>
      </c>
      <c r="M12" s="11">
        <v>0</v>
      </c>
      <c r="N12" s="11">
        <v>0</v>
      </c>
      <c r="O12" s="11">
        <f>SUM(G12:N12)</f>
        <v>727843.98</v>
      </c>
      <c r="P12" s="12"/>
    </row>
    <row r="13" spans="1:19" ht="34.5" hidden="1" customHeight="1" x14ac:dyDescent="0.2">
      <c r="A13" s="13"/>
      <c r="B13" s="243"/>
      <c r="C13" s="9"/>
      <c r="D13" s="10"/>
      <c r="E13" s="245"/>
      <c r="F13" s="10"/>
      <c r="G13" s="11"/>
      <c r="H13" s="11"/>
      <c r="I13" s="11"/>
      <c r="J13" s="11"/>
      <c r="K13" s="11"/>
      <c r="L13" s="11"/>
      <c r="M13" s="11"/>
      <c r="N13" s="11"/>
      <c r="O13" s="11"/>
    </row>
    <row r="14" spans="1:19" ht="34.5" hidden="1" customHeight="1" x14ac:dyDescent="0.2">
      <c r="A14" s="13"/>
      <c r="B14" s="243"/>
      <c r="C14" s="9"/>
      <c r="D14" s="10"/>
      <c r="E14" s="245"/>
      <c r="F14" s="10"/>
      <c r="G14" s="11"/>
      <c r="H14" s="11"/>
      <c r="I14" s="11"/>
      <c r="J14" s="11"/>
      <c r="K14" s="11"/>
      <c r="L14" s="11"/>
      <c r="M14" s="11"/>
      <c r="N14" s="11"/>
      <c r="O14" s="11"/>
    </row>
    <row r="15" spans="1:19" ht="111.75" customHeight="1" x14ac:dyDescent="0.2">
      <c r="A15" s="13"/>
      <c r="B15" s="243"/>
      <c r="C15" s="17" t="s">
        <v>221</v>
      </c>
      <c r="D15" s="10" t="s">
        <v>20</v>
      </c>
      <c r="E15" s="245"/>
      <c r="F15" s="10" t="s">
        <v>15</v>
      </c>
      <c r="G15" s="11">
        <v>9960</v>
      </c>
      <c r="H15" s="11">
        <v>9960</v>
      </c>
      <c r="I15" s="11">
        <v>400</v>
      </c>
      <c r="J15" s="11">
        <v>2102.1999999999998</v>
      </c>
      <c r="K15" s="11">
        <v>20800</v>
      </c>
      <c r="L15" s="11">
        <v>0</v>
      </c>
      <c r="M15" s="11">
        <v>0</v>
      </c>
      <c r="N15" s="11">
        <v>0</v>
      </c>
      <c r="O15" s="11">
        <f t="shared" ref="O15:O81" si="0">SUM(G15:N15)</f>
        <v>43222.2</v>
      </c>
    </row>
    <row r="16" spans="1:19" ht="84" customHeight="1" x14ac:dyDescent="0.2">
      <c r="A16" s="13"/>
      <c r="B16" s="16"/>
      <c r="C16" s="17" t="s">
        <v>18</v>
      </c>
      <c r="D16" s="10" t="s">
        <v>17</v>
      </c>
      <c r="E16" s="245"/>
      <c r="F16" s="10" t="s">
        <v>15</v>
      </c>
      <c r="G16" s="11">
        <v>17132.7</v>
      </c>
      <c r="H16" s="18">
        <v>15000</v>
      </c>
      <c r="I16" s="18">
        <v>8150</v>
      </c>
      <c r="J16" s="18">
        <v>7800</v>
      </c>
      <c r="K16" s="18">
        <v>13000</v>
      </c>
      <c r="L16" s="18">
        <v>12500</v>
      </c>
      <c r="M16" s="18">
        <v>13750</v>
      </c>
      <c r="N16" s="18">
        <v>15125</v>
      </c>
      <c r="O16" s="11">
        <f t="shared" si="0"/>
        <v>102457.7</v>
      </c>
    </row>
    <row r="17" spans="1:15" ht="72" customHeight="1" x14ac:dyDescent="0.2">
      <c r="A17" s="13"/>
      <c r="B17" s="16"/>
      <c r="C17" s="17" t="s">
        <v>19</v>
      </c>
      <c r="D17" s="10" t="s">
        <v>20</v>
      </c>
      <c r="E17" s="245"/>
      <c r="F17" s="10" t="s">
        <v>15</v>
      </c>
      <c r="G17" s="11">
        <v>100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1">
        <f t="shared" si="0"/>
        <v>100</v>
      </c>
    </row>
    <row r="18" spans="1:15" ht="71.25" customHeight="1" x14ac:dyDescent="0.2">
      <c r="A18" s="13"/>
      <c r="B18" s="16"/>
      <c r="C18" s="17" t="s">
        <v>21</v>
      </c>
      <c r="D18" s="10" t="s">
        <v>20</v>
      </c>
      <c r="E18" s="245"/>
      <c r="F18" s="10" t="s">
        <v>15</v>
      </c>
      <c r="G18" s="11">
        <v>290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1">
        <f t="shared" si="0"/>
        <v>290</v>
      </c>
    </row>
    <row r="19" spans="1:15" ht="71.25" customHeight="1" x14ac:dyDescent="0.2">
      <c r="A19" s="13"/>
      <c r="B19" s="16"/>
      <c r="C19" s="17" t="s">
        <v>22</v>
      </c>
      <c r="D19" s="10" t="s">
        <v>20</v>
      </c>
      <c r="E19" s="245"/>
      <c r="F19" s="10" t="s">
        <v>15</v>
      </c>
      <c r="G19" s="11">
        <v>60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1">
        <f t="shared" si="0"/>
        <v>60</v>
      </c>
    </row>
    <row r="20" spans="1:15" ht="67.5" customHeight="1" x14ac:dyDescent="0.2">
      <c r="A20" s="13"/>
      <c r="B20" s="16"/>
      <c r="C20" s="17" t="s">
        <v>23</v>
      </c>
      <c r="D20" s="10" t="s">
        <v>20</v>
      </c>
      <c r="E20" s="245"/>
      <c r="F20" s="10" t="s">
        <v>15</v>
      </c>
      <c r="G20" s="11">
        <v>100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1">
        <f t="shared" si="0"/>
        <v>100</v>
      </c>
    </row>
    <row r="21" spans="1:15" ht="72.75" customHeight="1" x14ac:dyDescent="0.2">
      <c r="A21" s="13"/>
      <c r="B21" s="16"/>
      <c r="C21" s="17" t="s">
        <v>24</v>
      </c>
      <c r="D21" s="10" t="s">
        <v>17</v>
      </c>
      <c r="E21" s="19"/>
      <c r="F21" s="10" t="s">
        <v>15</v>
      </c>
      <c r="G21" s="18">
        <v>0</v>
      </c>
      <c r="H21" s="18">
        <v>3500</v>
      </c>
      <c r="I21" s="18">
        <v>1200</v>
      </c>
      <c r="J21" s="18">
        <v>20000</v>
      </c>
      <c r="K21" s="18">
        <v>12050</v>
      </c>
      <c r="L21" s="18">
        <v>15500</v>
      </c>
      <c r="M21" s="18">
        <v>3850</v>
      </c>
      <c r="N21" s="18">
        <v>4235</v>
      </c>
      <c r="O21" s="11">
        <f t="shared" si="0"/>
        <v>60335</v>
      </c>
    </row>
    <row r="22" spans="1:15" ht="67.5" customHeight="1" x14ac:dyDescent="0.2">
      <c r="A22" s="20"/>
      <c r="B22" s="21"/>
      <c r="C22" s="22" t="s">
        <v>25</v>
      </c>
      <c r="D22" s="23" t="s">
        <v>20</v>
      </c>
      <c r="E22" s="24"/>
      <c r="F22" s="10" t="s">
        <v>15</v>
      </c>
      <c r="G22" s="18">
        <v>0</v>
      </c>
      <c r="H22" s="18">
        <v>200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1">
        <f t="shared" si="0"/>
        <v>200</v>
      </c>
    </row>
    <row r="23" spans="1:15" ht="43.5" customHeight="1" x14ac:dyDescent="0.2">
      <c r="A23" s="241">
        <v>2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</row>
    <row r="24" spans="1:15" ht="33" customHeight="1" x14ac:dyDescent="0.2">
      <c r="A24" s="246" t="s">
        <v>222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</row>
    <row r="25" spans="1:15" ht="28.5" customHeight="1" x14ac:dyDescent="0.2">
      <c r="A25" s="25">
        <v>1</v>
      </c>
      <c r="B25" s="26">
        <v>2</v>
      </c>
      <c r="C25" s="27">
        <v>3</v>
      </c>
      <c r="D25" s="7">
        <v>4</v>
      </c>
      <c r="E25" s="7">
        <v>5</v>
      </c>
      <c r="F25" s="7">
        <v>6</v>
      </c>
      <c r="G25" s="7">
        <v>7</v>
      </c>
      <c r="H25" s="7">
        <v>8</v>
      </c>
      <c r="I25" s="7">
        <v>9</v>
      </c>
      <c r="J25" s="7">
        <v>10</v>
      </c>
      <c r="K25" s="7">
        <v>11</v>
      </c>
      <c r="L25" s="7">
        <v>12</v>
      </c>
      <c r="M25" s="7">
        <v>13</v>
      </c>
      <c r="N25" s="7">
        <v>14</v>
      </c>
      <c r="O25" s="7">
        <v>15</v>
      </c>
    </row>
    <row r="26" spans="1:15" ht="69.75" customHeight="1" x14ac:dyDescent="0.2">
      <c r="A26" s="13"/>
      <c r="B26" s="248"/>
      <c r="C26" s="28" t="s">
        <v>27</v>
      </c>
      <c r="D26" s="10" t="s">
        <v>20</v>
      </c>
      <c r="E26" s="29"/>
      <c r="F26" s="10" t="s">
        <v>15</v>
      </c>
      <c r="G26" s="18">
        <v>0</v>
      </c>
      <c r="H26" s="11">
        <v>60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1">
        <f t="shared" si="0"/>
        <v>60</v>
      </c>
    </row>
    <row r="27" spans="1:15" ht="73.5" customHeight="1" x14ac:dyDescent="0.2">
      <c r="A27" s="13"/>
      <c r="B27" s="249"/>
      <c r="C27" s="28" t="s">
        <v>28</v>
      </c>
      <c r="D27" s="10" t="s">
        <v>20</v>
      </c>
      <c r="E27" s="29"/>
      <c r="F27" s="10" t="s">
        <v>15</v>
      </c>
      <c r="G27" s="18">
        <v>0</v>
      </c>
      <c r="H27" s="11">
        <v>150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1">
        <f t="shared" si="0"/>
        <v>150</v>
      </c>
    </row>
    <row r="28" spans="1:15" ht="66.75" customHeight="1" x14ac:dyDescent="0.2">
      <c r="A28" s="13"/>
      <c r="B28" s="249"/>
      <c r="C28" s="28" t="s">
        <v>29</v>
      </c>
      <c r="D28" s="10" t="s">
        <v>20</v>
      </c>
      <c r="E28" s="29"/>
      <c r="F28" s="10" t="s">
        <v>15</v>
      </c>
      <c r="G28" s="18">
        <v>0</v>
      </c>
      <c r="H28" s="11">
        <v>150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1">
        <f t="shared" si="0"/>
        <v>150</v>
      </c>
    </row>
    <row r="29" spans="1:15" ht="84.75" customHeight="1" x14ac:dyDescent="0.2">
      <c r="A29" s="13"/>
      <c r="B29" s="30"/>
      <c r="C29" s="28" t="s">
        <v>30</v>
      </c>
      <c r="D29" s="10" t="s">
        <v>17</v>
      </c>
      <c r="E29" s="29"/>
      <c r="F29" s="10" t="s">
        <v>15</v>
      </c>
      <c r="G29" s="18">
        <v>0</v>
      </c>
      <c r="H29" s="11">
        <v>5500</v>
      </c>
      <c r="I29" s="11">
        <v>42900</v>
      </c>
      <c r="J29" s="11">
        <v>11871.2</v>
      </c>
      <c r="K29" s="11">
        <v>11940.3</v>
      </c>
      <c r="L29" s="11">
        <v>6000</v>
      </c>
      <c r="M29" s="11">
        <v>0</v>
      </c>
      <c r="N29" s="11">
        <v>0</v>
      </c>
      <c r="O29" s="11">
        <f t="shared" si="0"/>
        <v>78211.5</v>
      </c>
    </row>
    <row r="30" spans="1:15" ht="75" customHeight="1" x14ac:dyDescent="0.2">
      <c r="A30" s="13"/>
      <c r="B30" s="30"/>
      <c r="C30" s="31" t="s">
        <v>31</v>
      </c>
      <c r="D30" s="10" t="s">
        <v>17</v>
      </c>
      <c r="E30" s="29"/>
      <c r="F30" s="10" t="s">
        <v>15</v>
      </c>
      <c r="G30" s="11">
        <v>2000</v>
      </c>
      <c r="H30" s="11">
        <v>2000</v>
      </c>
      <c r="I30" s="11">
        <v>3250</v>
      </c>
      <c r="J30" s="11">
        <v>4600</v>
      </c>
      <c r="K30" s="11">
        <v>4000</v>
      </c>
      <c r="L30" s="11">
        <f>0+397.7</f>
        <v>397.7</v>
      </c>
      <c r="M30" s="11">
        <v>0</v>
      </c>
      <c r="N30" s="11">
        <v>0</v>
      </c>
      <c r="O30" s="11">
        <f t="shared" si="0"/>
        <v>16247.7</v>
      </c>
    </row>
    <row r="31" spans="1:15" ht="78.75" customHeight="1" x14ac:dyDescent="0.2">
      <c r="A31" s="13"/>
      <c r="B31" s="30"/>
      <c r="C31" s="28" t="s">
        <v>32</v>
      </c>
      <c r="D31" s="10" t="s">
        <v>17</v>
      </c>
      <c r="E31" s="29"/>
      <c r="F31" s="10" t="s">
        <v>15</v>
      </c>
      <c r="G31" s="18">
        <v>100</v>
      </c>
      <c r="H31" s="11">
        <v>2000</v>
      </c>
      <c r="I31" s="11">
        <v>3100</v>
      </c>
      <c r="J31" s="11">
        <v>12000</v>
      </c>
      <c r="K31" s="11">
        <v>14573.5</v>
      </c>
      <c r="L31" s="11">
        <f>1017.3</f>
        <v>1017.3</v>
      </c>
      <c r="M31" s="11">
        <v>0</v>
      </c>
      <c r="N31" s="11">
        <v>0</v>
      </c>
      <c r="O31" s="11">
        <f t="shared" si="0"/>
        <v>32790.800000000003</v>
      </c>
    </row>
    <row r="32" spans="1:15" ht="73.5" customHeight="1" x14ac:dyDescent="0.2">
      <c r="A32" s="13"/>
      <c r="B32" s="30"/>
      <c r="C32" s="31" t="s">
        <v>33</v>
      </c>
      <c r="D32" s="10" t="s">
        <v>17</v>
      </c>
      <c r="E32" s="29"/>
      <c r="F32" s="10" t="s">
        <v>15</v>
      </c>
      <c r="G32" s="11">
        <v>1500</v>
      </c>
      <c r="H32" s="11">
        <v>1680</v>
      </c>
      <c r="I32" s="11">
        <v>1800</v>
      </c>
      <c r="J32" s="11">
        <v>3450</v>
      </c>
      <c r="K32" s="11">
        <v>3000</v>
      </c>
      <c r="L32" s="11">
        <f>0+1500+815.9</f>
        <v>2315.9</v>
      </c>
      <c r="M32" s="11">
        <v>0</v>
      </c>
      <c r="N32" s="11">
        <v>0</v>
      </c>
      <c r="O32" s="11">
        <f t="shared" si="0"/>
        <v>13745.9</v>
      </c>
    </row>
    <row r="33" spans="1:15" ht="75.75" customHeight="1" x14ac:dyDescent="0.2">
      <c r="A33" s="13"/>
      <c r="B33" s="30"/>
      <c r="C33" s="31" t="s">
        <v>34</v>
      </c>
      <c r="D33" s="10" t="s">
        <v>17</v>
      </c>
      <c r="E33" s="29"/>
      <c r="F33" s="10" t="s">
        <v>15</v>
      </c>
      <c r="G33" s="18">
        <v>0</v>
      </c>
      <c r="H33" s="11">
        <f>5650</f>
        <v>5650</v>
      </c>
      <c r="I33" s="11">
        <v>6800</v>
      </c>
      <c r="J33" s="11">
        <v>8000</v>
      </c>
      <c r="K33" s="11">
        <v>9500</v>
      </c>
      <c r="L33" s="11">
        <v>3500</v>
      </c>
      <c r="M33" s="11">
        <v>3850</v>
      </c>
      <c r="N33" s="11">
        <f>4235-4235</f>
        <v>0</v>
      </c>
      <c r="O33" s="11">
        <f t="shared" si="0"/>
        <v>37300</v>
      </c>
    </row>
    <row r="34" spans="1:15" ht="183.75" customHeight="1" x14ac:dyDescent="0.2">
      <c r="A34" s="20"/>
      <c r="B34" s="32"/>
      <c r="C34" s="33" t="s">
        <v>35</v>
      </c>
      <c r="D34" s="23" t="s">
        <v>17</v>
      </c>
      <c r="E34" s="24"/>
      <c r="F34" s="10" t="s">
        <v>15</v>
      </c>
      <c r="G34" s="18">
        <v>0</v>
      </c>
      <c r="H34" s="11">
        <v>9116.2999999999993</v>
      </c>
      <c r="I34" s="18">
        <v>0</v>
      </c>
      <c r="J34" s="18">
        <v>200</v>
      </c>
      <c r="K34" s="18">
        <v>14000</v>
      </c>
      <c r="L34" s="18">
        <v>9713.6</v>
      </c>
      <c r="M34" s="18">
        <v>0</v>
      </c>
      <c r="N34" s="18">
        <v>0</v>
      </c>
      <c r="O34" s="11">
        <f t="shared" si="0"/>
        <v>33029.9</v>
      </c>
    </row>
    <row r="35" spans="1:15" ht="26.25" customHeight="1" x14ac:dyDescent="0.2">
      <c r="A35" s="241">
        <v>3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</row>
    <row r="36" spans="1:15" ht="24" customHeight="1" x14ac:dyDescent="0.2">
      <c r="A36" s="246" t="s">
        <v>222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</row>
    <row r="37" spans="1:15" ht="26.25" customHeight="1" x14ac:dyDescent="0.2">
      <c r="A37" s="25">
        <v>1</v>
      </c>
      <c r="B37" s="26">
        <v>2</v>
      </c>
      <c r="C37" s="27">
        <v>3</v>
      </c>
      <c r="D37" s="7">
        <v>4</v>
      </c>
      <c r="E37" s="7">
        <v>5</v>
      </c>
      <c r="F37" s="7">
        <v>6</v>
      </c>
      <c r="G37" s="7">
        <v>7</v>
      </c>
      <c r="H37" s="7">
        <v>8</v>
      </c>
      <c r="I37" s="7">
        <v>9</v>
      </c>
      <c r="J37" s="7">
        <v>10</v>
      </c>
      <c r="K37" s="7">
        <v>11</v>
      </c>
      <c r="L37" s="7">
        <v>12</v>
      </c>
      <c r="M37" s="7">
        <v>13</v>
      </c>
      <c r="N37" s="7">
        <v>14</v>
      </c>
      <c r="O37" s="7">
        <v>15</v>
      </c>
    </row>
    <row r="38" spans="1:15" ht="147.75" customHeight="1" x14ac:dyDescent="0.2">
      <c r="A38" s="34"/>
      <c r="B38" s="35"/>
      <c r="C38" s="28" t="s">
        <v>36</v>
      </c>
      <c r="D38" s="10" t="s">
        <v>17</v>
      </c>
      <c r="E38" s="29"/>
      <c r="F38" s="10" t="s">
        <v>15</v>
      </c>
      <c r="G38" s="18">
        <v>0</v>
      </c>
      <c r="H38" s="18">
        <v>0</v>
      </c>
      <c r="I38" s="11">
        <v>10000</v>
      </c>
      <c r="J38" s="18">
        <v>0</v>
      </c>
      <c r="K38" s="18">
        <v>0</v>
      </c>
      <c r="L38" s="18">
        <v>16000</v>
      </c>
      <c r="M38" s="18">
        <v>0</v>
      </c>
      <c r="N38" s="18">
        <v>0</v>
      </c>
      <c r="O38" s="11">
        <f t="shared" si="0"/>
        <v>26000</v>
      </c>
    </row>
    <row r="39" spans="1:15" ht="179.25" customHeight="1" x14ac:dyDescent="0.2">
      <c r="A39" s="36"/>
      <c r="B39" s="37"/>
      <c r="C39" s="38" t="s">
        <v>37</v>
      </c>
      <c r="D39" s="10" t="s">
        <v>17</v>
      </c>
      <c r="E39" s="29"/>
      <c r="F39" s="10" t="s">
        <v>15</v>
      </c>
      <c r="G39" s="18">
        <v>0</v>
      </c>
      <c r="H39" s="18">
        <v>0</v>
      </c>
      <c r="I39" s="18">
        <v>0</v>
      </c>
      <c r="J39" s="18">
        <v>2425</v>
      </c>
      <c r="K39" s="18">
        <v>1275</v>
      </c>
      <c r="L39" s="18">
        <v>286.39999999999998</v>
      </c>
      <c r="M39" s="18">
        <v>0</v>
      </c>
      <c r="N39" s="18">
        <v>0</v>
      </c>
      <c r="O39" s="11">
        <f t="shared" si="0"/>
        <v>3986.4</v>
      </c>
    </row>
    <row r="40" spans="1:15" ht="148.5" customHeight="1" x14ac:dyDescent="0.2">
      <c r="A40" s="13"/>
      <c r="B40" s="30"/>
      <c r="C40" s="28" t="s">
        <v>38</v>
      </c>
      <c r="D40" s="10" t="s">
        <v>17</v>
      </c>
      <c r="E40" s="29"/>
      <c r="F40" s="10" t="s">
        <v>15</v>
      </c>
      <c r="G40" s="18">
        <v>0</v>
      </c>
      <c r="H40" s="18">
        <v>0</v>
      </c>
      <c r="I40" s="11">
        <v>10000</v>
      </c>
      <c r="J40" s="18">
        <v>0</v>
      </c>
      <c r="K40" s="18">
        <v>0</v>
      </c>
      <c r="L40" s="18">
        <v>0</v>
      </c>
      <c r="M40" s="18">
        <f>16000-16000</f>
        <v>0</v>
      </c>
      <c r="N40" s="18">
        <v>0</v>
      </c>
      <c r="O40" s="11">
        <f t="shared" si="0"/>
        <v>10000</v>
      </c>
    </row>
    <row r="41" spans="1:15" ht="151.5" customHeight="1" x14ac:dyDescent="0.2">
      <c r="A41" s="13"/>
      <c r="B41" s="30"/>
      <c r="C41" s="38" t="s">
        <v>39</v>
      </c>
      <c r="D41" s="10" t="s">
        <v>17</v>
      </c>
      <c r="E41" s="29"/>
      <c r="F41" s="10" t="s">
        <v>15</v>
      </c>
      <c r="G41" s="18">
        <v>0</v>
      </c>
      <c r="H41" s="18">
        <v>0</v>
      </c>
      <c r="I41" s="18">
        <v>0</v>
      </c>
      <c r="J41" s="11">
        <v>8000</v>
      </c>
      <c r="K41" s="18">
        <v>0</v>
      </c>
      <c r="L41" s="18">
        <v>0</v>
      </c>
      <c r="M41" s="18">
        <v>4000</v>
      </c>
      <c r="N41" s="18">
        <f>18000-18000</f>
        <v>0</v>
      </c>
      <c r="O41" s="11">
        <f t="shared" si="0"/>
        <v>12000</v>
      </c>
    </row>
    <row r="42" spans="1:15" ht="177.75" customHeight="1" x14ac:dyDescent="0.2">
      <c r="A42" s="20"/>
      <c r="B42" s="32"/>
      <c r="C42" s="39" t="s">
        <v>40</v>
      </c>
      <c r="D42" s="23" t="s">
        <v>17</v>
      </c>
      <c r="E42" s="24"/>
      <c r="F42" s="23" t="s">
        <v>15</v>
      </c>
      <c r="G42" s="18">
        <v>0</v>
      </c>
      <c r="H42" s="18">
        <v>0</v>
      </c>
      <c r="I42" s="18">
        <v>0</v>
      </c>
      <c r="J42" s="18">
        <v>0</v>
      </c>
      <c r="K42" s="11">
        <v>10000</v>
      </c>
      <c r="L42" s="11">
        <v>0</v>
      </c>
      <c r="M42" s="11">
        <v>0</v>
      </c>
      <c r="N42" s="11">
        <v>16000</v>
      </c>
      <c r="O42" s="11">
        <f t="shared" si="0"/>
        <v>26000</v>
      </c>
    </row>
    <row r="43" spans="1:15" ht="30.75" customHeight="1" x14ac:dyDescent="0.2">
      <c r="A43" s="241">
        <v>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</row>
    <row r="44" spans="1:15" ht="24" customHeight="1" x14ac:dyDescent="0.2">
      <c r="A44" s="246" t="s">
        <v>222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</row>
    <row r="45" spans="1:15" ht="29.25" customHeight="1" x14ac:dyDescent="0.2">
      <c r="A45" s="40">
        <v>1</v>
      </c>
      <c r="B45" s="27">
        <v>2</v>
      </c>
      <c r="C45" s="7">
        <v>3</v>
      </c>
      <c r="D45" s="7">
        <v>4</v>
      </c>
      <c r="E45" s="41">
        <v>5</v>
      </c>
      <c r="F45" s="7">
        <v>6</v>
      </c>
      <c r="G45" s="7">
        <v>7</v>
      </c>
      <c r="H45" s="7">
        <v>8</v>
      </c>
      <c r="I45" s="7">
        <v>9</v>
      </c>
      <c r="J45" s="7">
        <v>10</v>
      </c>
      <c r="K45" s="7">
        <v>11</v>
      </c>
      <c r="L45" s="7">
        <v>12</v>
      </c>
      <c r="M45" s="7">
        <v>13</v>
      </c>
      <c r="N45" s="7">
        <v>14</v>
      </c>
      <c r="O45" s="7">
        <v>15</v>
      </c>
    </row>
    <row r="46" spans="1:15" ht="132.75" customHeight="1" x14ac:dyDescent="0.2">
      <c r="A46" s="250"/>
      <c r="B46" s="42"/>
      <c r="C46" s="43" t="s">
        <v>41</v>
      </c>
      <c r="D46" s="44" t="s">
        <v>17</v>
      </c>
      <c r="E46" s="45"/>
      <c r="F46" s="46" t="s">
        <v>15</v>
      </c>
      <c r="G46" s="18">
        <v>0</v>
      </c>
      <c r="H46" s="11">
        <f>5000-830</f>
        <v>4170</v>
      </c>
      <c r="I46" s="11">
        <v>2000</v>
      </c>
      <c r="J46" s="11">
        <v>2500</v>
      </c>
      <c r="K46" s="11">
        <v>0</v>
      </c>
      <c r="L46" s="11">
        <v>3500</v>
      </c>
      <c r="M46" s="11">
        <v>2000</v>
      </c>
      <c r="N46" s="11">
        <v>2000</v>
      </c>
      <c r="O46" s="11">
        <f t="shared" si="0"/>
        <v>16170</v>
      </c>
    </row>
    <row r="47" spans="1:15" ht="67.5" customHeight="1" x14ac:dyDescent="0.2">
      <c r="A47" s="249"/>
      <c r="B47" s="42"/>
      <c r="C47" s="186" t="s">
        <v>42</v>
      </c>
      <c r="D47" s="51" t="s">
        <v>17</v>
      </c>
      <c r="E47" s="36"/>
      <c r="F47" s="46" t="s">
        <v>15</v>
      </c>
      <c r="G47" s="11">
        <v>0</v>
      </c>
      <c r="H47" s="18">
        <v>60000</v>
      </c>
      <c r="I47" s="18">
        <v>0</v>
      </c>
      <c r="J47" s="18">
        <v>0</v>
      </c>
      <c r="K47" s="18">
        <v>0</v>
      </c>
      <c r="L47" s="18">
        <f>60000-1000-4500</f>
        <v>54500</v>
      </c>
      <c r="M47" s="18">
        <v>66000</v>
      </c>
      <c r="N47" s="18">
        <v>72600</v>
      </c>
      <c r="O47" s="11">
        <f t="shared" si="0"/>
        <v>253100</v>
      </c>
    </row>
    <row r="48" spans="1:15" ht="69" customHeight="1" x14ac:dyDescent="0.2">
      <c r="A48" s="249"/>
      <c r="B48" s="42"/>
      <c r="C48" s="50" t="s">
        <v>43</v>
      </c>
      <c r="D48" s="51" t="s">
        <v>20</v>
      </c>
      <c r="E48" s="36"/>
      <c r="F48" s="46" t="s">
        <v>15</v>
      </c>
      <c r="G48" s="11">
        <f>30893.1-20000</f>
        <v>10893.099999999999</v>
      </c>
      <c r="H48" s="18">
        <v>0</v>
      </c>
      <c r="I48" s="18">
        <v>33783</v>
      </c>
      <c r="J48" s="18">
        <v>44021.8</v>
      </c>
      <c r="K48" s="18">
        <v>61825.56</v>
      </c>
      <c r="L48" s="18">
        <v>0</v>
      </c>
      <c r="M48" s="18">
        <v>0</v>
      </c>
      <c r="N48" s="18">
        <v>0</v>
      </c>
      <c r="O48" s="11">
        <f t="shared" si="0"/>
        <v>150523.46</v>
      </c>
    </row>
    <row r="49" spans="1:15" ht="96" customHeight="1" x14ac:dyDescent="0.2">
      <c r="A49" s="249"/>
      <c r="B49" s="42"/>
      <c r="C49" s="50" t="s">
        <v>44</v>
      </c>
      <c r="D49" s="51" t="s">
        <v>20</v>
      </c>
      <c r="E49" s="36"/>
      <c r="F49" s="46" t="s">
        <v>15</v>
      </c>
      <c r="G49" s="11">
        <v>0</v>
      </c>
      <c r="H49" s="18">
        <v>0</v>
      </c>
      <c r="I49" s="18">
        <v>3000</v>
      </c>
      <c r="J49" s="18">
        <v>2597.8000000000002</v>
      </c>
      <c r="K49" s="18">
        <v>1300</v>
      </c>
      <c r="L49" s="18">
        <v>0</v>
      </c>
      <c r="M49" s="18">
        <v>0</v>
      </c>
      <c r="N49" s="18">
        <v>0</v>
      </c>
      <c r="O49" s="11">
        <f t="shared" si="0"/>
        <v>6897.8</v>
      </c>
    </row>
    <row r="50" spans="1:15" ht="60.75" customHeight="1" x14ac:dyDescent="0.2">
      <c r="A50" s="36"/>
      <c r="B50" s="42"/>
      <c r="C50" s="50" t="s">
        <v>45</v>
      </c>
      <c r="D50" s="251" t="s">
        <v>46</v>
      </c>
      <c r="E50" s="36"/>
      <c r="F50" s="253" t="s">
        <v>15</v>
      </c>
      <c r="G50" s="11">
        <v>0</v>
      </c>
      <c r="H50" s="18">
        <v>0</v>
      </c>
      <c r="I50" s="18">
        <v>0</v>
      </c>
      <c r="J50" s="18">
        <v>2300</v>
      </c>
      <c r="K50" s="18">
        <v>0</v>
      </c>
      <c r="L50" s="18">
        <f>SUM(L52:L57)+L58</f>
        <v>15850</v>
      </c>
      <c r="M50" s="18">
        <f>SUM(M52:M57)</f>
        <v>9150</v>
      </c>
      <c r="N50" s="18">
        <f>SUM(N52:N57)</f>
        <v>8235</v>
      </c>
      <c r="O50" s="11">
        <f>SUM(G50:N50)</f>
        <v>35535</v>
      </c>
    </row>
    <row r="51" spans="1:15" ht="21" customHeight="1" x14ac:dyDescent="0.2">
      <c r="A51" s="36"/>
      <c r="B51" s="42"/>
      <c r="C51" s="50" t="s">
        <v>47</v>
      </c>
      <c r="D51" s="252"/>
      <c r="E51" s="36"/>
      <c r="F51" s="254"/>
      <c r="G51" s="11"/>
      <c r="H51" s="18"/>
      <c r="I51" s="18"/>
      <c r="J51" s="18"/>
      <c r="K51" s="18"/>
      <c r="L51" s="18"/>
      <c r="M51" s="18"/>
      <c r="N51" s="18"/>
      <c r="O51" s="11"/>
    </row>
    <row r="52" spans="1:15" ht="42.75" customHeight="1" x14ac:dyDescent="0.2">
      <c r="A52" s="36"/>
      <c r="B52" s="42"/>
      <c r="C52" s="50" t="s">
        <v>48</v>
      </c>
      <c r="D52" s="252"/>
      <c r="E52" s="36"/>
      <c r="F52" s="254"/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8">
        <v>3500</v>
      </c>
      <c r="M52" s="18">
        <f>900-350-350</f>
        <v>200</v>
      </c>
      <c r="N52" s="18">
        <v>0</v>
      </c>
      <c r="O52" s="11">
        <f t="shared" ref="O52:O57" si="1">SUM(G52:N52)</f>
        <v>3700</v>
      </c>
    </row>
    <row r="53" spans="1:15" ht="47.25" customHeight="1" x14ac:dyDescent="0.2">
      <c r="A53" s="36"/>
      <c r="B53" s="42"/>
      <c r="C53" s="50" t="s">
        <v>49</v>
      </c>
      <c r="D53" s="252"/>
      <c r="E53" s="52"/>
      <c r="F53" s="254"/>
      <c r="G53" s="11">
        <v>0</v>
      </c>
      <c r="H53" s="11">
        <v>0</v>
      </c>
      <c r="I53" s="11">
        <v>0</v>
      </c>
      <c r="J53" s="11">
        <v>2300</v>
      </c>
      <c r="K53" s="11">
        <v>0</v>
      </c>
      <c r="L53" s="18">
        <f>5100-450</f>
        <v>4650</v>
      </c>
      <c r="M53" s="18">
        <v>2800</v>
      </c>
      <c r="N53" s="18">
        <v>3000</v>
      </c>
      <c r="O53" s="11">
        <f t="shared" si="1"/>
        <v>12750</v>
      </c>
    </row>
    <row r="54" spans="1:15" ht="39.75" customHeight="1" x14ac:dyDescent="0.2">
      <c r="A54" s="36"/>
      <c r="B54" s="42"/>
      <c r="C54" s="50" t="s">
        <v>50</v>
      </c>
      <c r="D54" s="252"/>
      <c r="E54" s="36"/>
      <c r="F54" s="254"/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8">
        <f>4000+375</f>
        <v>4375</v>
      </c>
      <c r="M54" s="18">
        <v>4300</v>
      </c>
      <c r="N54" s="18">
        <v>4500</v>
      </c>
      <c r="O54" s="11">
        <f t="shared" si="1"/>
        <v>13175</v>
      </c>
    </row>
    <row r="55" spans="1:15" ht="36" customHeight="1" x14ac:dyDescent="0.2">
      <c r="A55" s="36"/>
      <c r="B55" s="42"/>
      <c r="C55" s="50" t="s">
        <v>51</v>
      </c>
      <c r="D55" s="252"/>
      <c r="E55" s="36"/>
      <c r="F55" s="254"/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8">
        <v>0</v>
      </c>
      <c r="M55" s="18">
        <f>850+350</f>
        <v>1200</v>
      </c>
      <c r="N55" s="18">
        <v>735</v>
      </c>
      <c r="O55" s="11">
        <f t="shared" si="1"/>
        <v>1935</v>
      </c>
    </row>
    <row r="56" spans="1:15" ht="37.5" customHeight="1" x14ac:dyDescent="0.2">
      <c r="A56" s="36"/>
      <c r="B56" s="42"/>
      <c r="C56" s="17" t="s">
        <v>52</v>
      </c>
      <c r="D56" s="53"/>
      <c r="E56" s="36"/>
      <c r="F56" s="54"/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8">
        <v>0</v>
      </c>
      <c r="M56" s="18">
        <f>300+350</f>
        <v>650</v>
      </c>
      <c r="N56" s="18">
        <v>0</v>
      </c>
      <c r="O56" s="11">
        <f t="shared" si="1"/>
        <v>650</v>
      </c>
    </row>
    <row r="57" spans="1:15" ht="48.75" customHeight="1" x14ac:dyDescent="0.2">
      <c r="A57" s="36"/>
      <c r="B57" s="42"/>
      <c r="C57" s="17" t="s">
        <v>53</v>
      </c>
      <c r="D57" s="53"/>
      <c r="E57" s="36"/>
      <c r="F57" s="54"/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8">
        <v>2875</v>
      </c>
      <c r="M57" s="18">
        <v>0</v>
      </c>
      <c r="N57" s="18">
        <v>0</v>
      </c>
      <c r="O57" s="11">
        <f t="shared" si="1"/>
        <v>2875</v>
      </c>
    </row>
    <row r="58" spans="1:15" ht="41.25" customHeight="1" x14ac:dyDescent="0.2">
      <c r="A58" s="36"/>
      <c r="B58" s="42"/>
      <c r="C58" s="17" t="s">
        <v>54</v>
      </c>
      <c r="D58" s="55"/>
      <c r="E58" s="36"/>
      <c r="F58" s="56"/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8">
        <v>450</v>
      </c>
      <c r="M58" s="11">
        <v>0</v>
      </c>
      <c r="N58" s="11">
        <v>0</v>
      </c>
      <c r="O58" s="11">
        <f>SUM(G58:N58)</f>
        <v>450</v>
      </c>
    </row>
    <row r="59" spans="1:15" ht="73.5" customHeight="1" x14ac:dyDescent="0.2">
      <c r="A59" s="57"/>
      <c r="B59" s="58"/>
      <c r="C59" s="22" t="s">
        <v>55</v>
      </c>
      <c r="D59" s="59" t="s">
        <v>46</v>
      </c>
      <c r="E59" s="57"/>
      <c r="F59" s="60" t="s">
        <v>15</v>
      </c>
      <c r="G59" s="61">
        <v>0</v>
      </c>
      <c r="H59" s="61">
        <v>0</v>
      </c>
      <c r="I59" s="61">
        <v>0</v>
      </c>
      <c r="J59" s="61">
        <v>2000</v>
      </c>
      <c r="K59" s="61">
        <v>1760.9</v>
      </c>
      <c r="L59" s="61">
        <f>2000+2100</f>
        <v>4100</v>
      </c>
      <c r="M59" s="11">
        <f>2500+3000</f>
        <v>5500</v>
      </c>
      <c r="N59" s="11">
        <v>3000</v>
      </c>
      <c r="O59" s="11">
        <f t="shared" si="0"/>
        <v>16360.9</v>
      </c>
    </row>
    <row r="60" spans="1:15" ht="27.75" customHeight="1" x14ac:dyDescent="0.2">
      <c r="A60" s="241">
        <v>5</v>
      </c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</row>
    <row r="61" spans="1:15" ht="19.5" customHeight="1" x14ac:dyDescent="0.2">
      <c r="A61" s="246" t="s">
        <v>222</v>
      </c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</row>
    <row r="62" spans="1:15" ht="30" customHeight="1" x14ac:dyDescent="0.2">
      <c r="A62" s="62">
        <v>1</v>
      </c>
      <c r="B62" s="62">
        <v>2</v>
      </c>
      <c r="C62" s="62">
        <v>3</v>
      </c>
      <c r="D62" s="62">
        <v>4</v>
      </c>
      <c r="E62" s="62">
        <v>5</v>
      </c>
      <c r="F62" s="62">
        <v>6</v>
      </c>
      <c r="G62" s="62">
        <v>7</v>
      </c>
      <c r="H62" s="62">
        <v>8</v>
      </c>
      <c r="I62" s="62">
        <v>9</v>
      </c>
      <c r="J62" s="62">
        <v>10</v>
      </c>
      <c r="K62" s="62">
        <v>11</v>
      </c>
      <c r="L62" s="62">
        <v>12</v>
      </c>
      <c r="M62" s="62">
        <v>13</v>
      </c>
      <c r="N62" s="62">
        <v>14</v>
      </c>
      <c r="O62" s="62">
        <v>15</v>
      </c>
    </row>
    <row r="63" spans="1:15" ht="78" customHeight="1" x14ac:dyDescent="0.2">
      <c r="A63" s="36"/>
      <c r="B63" s="30"/>
      <c r="C63" s="39" t="s">
        <v>56</v>
      </c>
      <c r="D63" s="59" t="s">
        <v>46</v>
      </c>
      <c r="E63" s="36"/>
      <c r="F63" s="60" t="s">
        <v>15</v>
      </c>
      <c r="G63" s="11">
        <v>0</v>
      </c>
      <c r="H63" s="11">
        <v>0</v>
      </c>
      <c r="I63" s="11">
        <v>0</v>
      </c>
      <c r="J63" s="11">
        <v>7900</v>
      </c>
      <c r="K63" s="11">
        <v>6611.6</v>
      </c>
      <c r="L63" s="11">
        <v>10000</v>
      </c>
      <c r="M63" s="11">
        <v>14000</v>
      </c>
      <c r="N63" s="11">
        <v>20000</v>
      </c>
      <c r="O63" s="11">
        <f>SUM(G63:N63)</f>
        <v>58511.6</v>
      </c>
    </row>
    <row r="64" spans="1:15" ht="69.75" customHeight="1" x14ac:dyDescent="0.2">
      <c r="A64" s="36"/>
      <c r="B64" s="30"/>
      <c r="C64" s="63" t="s">
        <v>57</v>
      </c>
      <c r="D64" s="64" t="s">
        <v>46</v>
      </c>
      <c r="E64" s="36"/>
      <c r="F64" s="65" t="s">
        <v>15</v>
      </c>
      <c r="G64" s="66">
        <v>0</v>
      </c>
      <c r="H64" s="66">
        <v>0</v>
      </c>
      <c r="I64" s="66">
        <v>0</v>
      </c>
      <c r="J64" s="66">
        <v>1600</v>
      </c>
      <c r="K64" s="66">
        <v>5500</v>
      </c>
      <c r="L64" s="66">
        <f>7600-3900</f>
        <v>3700</v>
      </c>
      <c r="M64" s="66">
        <f>8360-8360</f>
        <v>0</v>
      </c>
      <c r="N64" s="66">
        <f>9200-9200</f>
        <v>0</v>
      </c>
      <c r="O64" s="66">
        <f t="shared" si="0"/>
        <v>10800</v>
      </c>
    </row>
    <row r="65" spans="1:15" ht="81" customHeight="1" x14ac:dyDescent="0.2">
      <c r="A65" s="36"/>
      <c r="B65" s="42"/>
      <c r="C65" s="17" t="s">
        <v>58</v>
      </c>
      <c r="D65" s="10" t="s">
        <v>46</v>
      </c>
      <c r="E65" s="29"/>
      <c r="F65" s="10" t="s">
        <v>15</v>
      </c>
      <c r="G65" s="11">
        <v>0</v>
      </c>
      <c r="H65" s="18">
        <v>0</v>
      </c>
      <c r="I65" s="18">
        <v>0</v>
      </c>
      <c r="J65" s="18">
        <v>6000</v>
      </c>
      <c r="K65" s="18">
        <v>13000</v>
      </c>
      <c r="L65" s="18">
        <v>1260</v>
      </c>
      <c r="M65" s="18">
        <v>1385</v>
      </c>
      <c r="N65" s="18">
        <v>1525</v>
      </c>
      <c r="O65" s="11">
        <f t="shared" si="0"/>
        <v>23170</v>
      </c>
    </row>
    <row r="66" spans="1:15" ht="110.25" customHeight="1" x14ac:dyDescent="0.2">
      <c r="A66" s="255"/>
      <c r="B66" s="42"/>
      <c r="C66" s="17" t="s">
        <v>59</v>
      </c>
      <c r="D66" s="10" t="s">
        <v>46</v>
      </c>
      <c r="E66" s="29"/>
      <c r="F66" s="10" t="s">
        <v>15</v>
      </c>
      <c r="G66" s="11">
        <v>0</v>
      </c>
      <c r="H66" s="18">
        <v>0</v>
      </c>
      <c r="I66" s="18">
        <v>0</v>
      </c>
      <c r="J66" s="18">
        <v>2500</v>
      </c>
      <c r="K66" s="18">
        <v>7500</v>
      </c>
      <c r="L66" s="18">
        <v>1835.7</v>
      </c>
      <c r="M66" s="18">
        <f>8500</f>
        <v>8500</v>
      </c>
      <c r="N66" s="18">
        <v>0</v>
      </c>
      <c r="O66" s="11">
        <f t="shared" si="0"/>
        <v>20335.7</v>
      </c>
    </row>
    <row r="67" spans="1:15" ht="130.5" customHeight="1" x14ac:dyDescent="0.2">
      <c r="A67" s="249"/>
      <c r="B67" s="42"/>
      <c r="C67" s="17" t="s">
        <v>60</v>
      </c>
      <c r="D67" s="10" t="s">
        <v>46</v>
      </c>
      <c r="E67" s="29"/>
      <c r="F67" s="10" t="s">
        <v>15</v>
      </c>
      <c r="G67" s="11">
        <v>0</v>
      </c>
      <c r="H67" s="18">
        <v>0</v>
      </c>
      <c r="I67" s="18">
        <v>0</v>
      </c>
      <c r="J67" s="18">
        <v>0</v>
      </c>
      <c r="K67" s="18">
        <v>1000</v>
      </c>
      <c r="L67" s="18">
        <v>10000</v>
      </c>
      <c r="M67" s="18">
        <f>10000-8500</f>
        <v>1500</v>
      </c>
      <c r="N67" s="18">
        <v>0</v>
      </c>
      <c r="O67" s="11">
        <f t="shared" si="0"/>
        <v>12500</v>
      </c>
    </row>
    <row r="68" spans="1:15" ht="70.5" customHeight="1" x14ac:dyDescent="0.2">
      <c r="A68" s="36"/>
      <c r="B68" s="42"/>
      <c r="C68" s="17" t="s">
        <v>61</v>
      </c>
      <c r="D68" s="10" t="s">
        <v>62</v>
      </c>
      <c r="E68" s="29"/>
      <c r="F68" s="10" t="s">
        <v>15</v>
      </c>
      <c r="G68" s="11">
        <v>0</v>
      </c>
      <c r="H68" s="18">
        <v>0</v>
      </c>
      <c r="I68" s="18">
        <v>0</v>
      </c>
      <c r="J68" s="18">
        <v>0</v>
      </c>
      <c r="K68" s="18">
        <v>7950</v>
      </c>
      <c r="L68" s="18">
        <v>0</v>
      </c>
      <c r="M68" s="18">
        <v>0</v>
      </c>
      <c r="N68" s="18">
        <v>0</v>
      </c>
      <c r="O68" s="11">
        <f t="shared" si="0"/>
        <v>7950</v>
      </c>
    </row>
    <row r="69" spans="1:15" ht="71.25" customHeight="1" x14ac:dyDescent="0.2">
      <c r="A69" s="36"/>
      <c r="B69" s="42"/>
      <c r="C69" s="17" t="s">
        <v>63</v>
      </c>
      <c r="D69" s="10" t="s">
        <v>46</v>
      </c>
      <c r="E69" s="29"/>
      <c r="F69" s="10" t="s">
        <v>15</v>
      </c>
      <c r="G69" s="11">
        <v>0</v>
      </c>
      <c r="H69" s="18">
        <v>0</v>
      </c>
      <c r="I69" s="18">
        <v>0</v>
      </c>
      <c r="J69" s="18">
        <v>0</v>
      </c>
      <c r="K69" s="18">
        <v>1000</v>
      </c>
      <c r="L69" s="18">
        <v>10000</v>
      </c>
      <c r="M69" s="18">
        <f>4000-2250</f>
        <v>1750</v>
      </c>
      <c r="N69" s="18">
        <v>0</v>
      </c>
      <c r="O69" s="11">
        <f t="shared" si="0"/>
        <v>12750</v>
      </c>
    </row>
    <row r="70" spans="1:15" ht="82.5" customHeight="1" x14ac:dyDescent="0.2">
      <c r="A70" s="36"/>
      <c r="B70" s="42"/>
      <c r="C70" s="17" t="s">
        <v>64</v>
      </c>
      <c r="D70" s="10" t="s">
        <v>65</v>
      </c>
      <c r="E70" s="19"/>
      <c r="F70" s="10" t="s">
        <v>15</v>
      </c>
      <c r="G70" s="11">
        <v>0</v>
      </c>
      <c r="H70" s="18">
        <v>0</v>
      </c>
      <c r="I70" s="18">
        <v>0</v>
      </c>
      <c r="J70" s="18">
        <v>0</v>
      </c>
      <c r="K70" s="18">
        <v>0</v>
      </c>
      <c r="L70" s="18">
        <v>2000</v>
      </c>
      <c r="M70" s="18">
        <v>7000</v>
      </c>
      <c r="N70" s="18">
        <v>10000</v>
      </c>
      <c r="O70" s="11">
        <f t="shared" si="0"/>
        <v>19000</v>
      </c>
    </row>
    <row r="71" spans="1:15" ht="109.5" customHeight="1" x14ac:dyDescent="0.2">
      <c r="A71" s="57"/>
      <c r="B71" s="58"/>
      <c r="C71" s="22" t="s">
        <v>66</v>
      </c>
      <c r="D71" s="23" t="s">
        <v>65</v>
      </c>
      <c r="E71" s="67"/>
      <c r="F71" s="23" t="s">
        <v>15</v>
      </c>
      <c r="G71" s="11">
        <v>0</v>
      </c>
      <c r="H71" s="18">
        <v>0</v>
      </c>
      <c r="I71" s="18">
        <v>0</v>
      </c>
      <c r="J71" s="18">
        <v>0</v>
      </c>
      <c r="K71" s="18">
        <v>0</v>
      </c>
      <c r="L71" s="18">
        <v>2000</v>
      </c>
      <c r="M71" s="18">
        <v>2000</v>
      </c>
      <c r="N71" s="18">
        <v>0</v>
      </c>
      <c r="O71" s="11">
        <f t="shared" si="0"/>
        <v>4000</v>
      </c>
    </row>
    <row r="72" spans="1:15" ht="30.75" customHeight="1" x14ac:dyDescent="0.2">
      <c r="A72" s="241">
        <v>6</v>
      </c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</row>
    <row r="73" spans="1:15" ht="15" customHeight="1" x14ac:dyDescent="0.2">
      <c r="A73" s="246" t="s">
        <v>222</v>
      </c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</row>
    <row r="74" spans="1:15" ht="21.75" customHeight="1" x14ac:dyDescent="0.2">
      <c r="A74" s="25">
        <v>1</v>
      </c>
      <c r="B74" s="26">
        <v>2</v>
      </c>
      <c r="C74" s="27">
        <v>3</v>
      </c>
      <c r="D74" s="7">
        <v>4</v>
      </c>
      <c r="E74" s="7">
        <v>5</v>
      </c>
      <c r="F74" s="7">
        <v>6</v>
      </c>
      <c r="G74" s="7">
        <v>7</v>
      </c>
      <c r="H74" s="7">
        <v>8</v>
      </c>
      <c r="I74" s="7">
        <v>9</v>
      </c>
      <c r="J74" s="7">
        <v>10</v>
      </c>
      <c r="K74" s="7">
        <v>11</v>
      </c>
      <c r="L74" s="7">
        <v>12</v>
      </c>
      <c r="M74" s="7">
        <v>13</v>
      </c>
      <c r="N74" s="7">
        <v>14</v>
      </c>
      <c r="O74" s="7">
        <v>15</v>
      </c>
    </row>
    <row r="75" spans="1:15" ht="114" customHeight="1" x14ac:dyDescent="0.2">
      <c r="A75" s="36"/>
      <c r="B75" s="68"/>
      <c r="C75" s="28" t="s">
        <v>67</v>
      </c>
      <c r="D75" s="10" t="s">
        <v>65</v>
      </c>
      <c r="E75" s="19"/>
      <c r="F75" s="10" t="s">
        <v>15</v>
      </c>
      <c r="G75" s="11">
        <v>0</v>
      </c>
      <c r="H75" s="18">
        <v>0</v>
      </c>
      <c r="I75" s="18">
        <v>0</v>
      </c>
      <c r="J75" s="18">
        <v>0</v>
      </c>
      <c r="K75" s="18">
        <v>0</v>
      </c>
      <c r="L75" s="18">
        <v>2000</v>
      </c>
      <c r="M75" s="18">
        <v>2000</v>
      </c>
      <c r="N75" s="18">
        <v>0</v>
      </c>
      <c r="O75" s="11">
        <f t="shared" si="0"/>
        <v>4000</v>
      </c>
    </row>
    <row r="76" spans="1:15" ht="69.75" customHeight="1" x14ac:dyDescent="0.2">
      <c r="A76" s="36"/>
      <c r="B76" s="68"/>
      <c r="C76" s="28" t="s">
        <v>68</v>
      </c>
      <c r="D76" s="10" t="s">
        <v>65</v>
      </c>
      <c r="E76" s="19"/>
      <c r="F76" s="10" t="s">
        <v>15</v>
      </c>
      <c r="G76" s="11">
        <v>0</v>
      </c>
      <c r="H76" s="18">
        <v>0</v>
      </c>
      <c r="I76" s="18">
        <v>0</v>
      </c>
      <c r="J76" s="18">
        <v>0</v>
      </c>
      <c r="K76" s="18">
        <v>0</v>
      </c>
      <c r="L76" s="18">
        <f>500+1000</f>
        <v>1500</v>
      </c>
      <c r="M76" s="18">
        <v>1000</v>
      </c>
      <c r="N76" s="18">
        <v>1500</v>
      </c>
      <c r="O76" s="11">
        <f t="shared" si="0"/>
        <v>4000</v>
      </c>
    </row>
    <row r="77" spans="1:15" ht="82.5" customHeight="1" x14ac:dyDescent="0.2">
      <c r="A77" s="36"/>
      <c r="B77" s="256"/>
      <c r="C77" s="28" t="s">
        <v>69</v>
      </c>
      <c r="D77" s="10" t="s">
        <v>65</v>
      </c>
      <c r="E77" s="19"/>
      <c r="F77" s="10" t="s">
        <v>15</v>
      </c>
      <c r="G77" s="11">
        <v>0</v>
      </c>
      <c r="H77" s="18">
        <v>0</v>
      </c>
      <c r="I77" s="18">
        <v>0</v>
      </c>
      <c r="J77" s="18">
        <v>0</v>
      </c>
      <c r="K77" s="18">
        <v>0</v>
      </c>
      <c r="L77" s="18">
        <v>1000</v>
      </c>
      <c r="M77" s="18">
        <v>3000</v>
      </c>
      <c r="N77" s="18">
        <v>3000</v>
      </c>
      <c r="O77" s="11">
        <f t="shared" si="0"/>
        <v>7000</v>
      </c>
    </row>
    <row r="78" spans="1:15" ht="81.75" customHeight="1" x14ac:dyDescent="0.2">
      <c r="A78" s="255"/>
      <c r="B78" s="249"/>
      <c r="C78" s="28" t="s">
        <v>70</v>
      </c>
      <c r="D78" s="10" t="s">
        <v>65</v>
      </c>
      <c r="E78" s="19"/>
      <c r="F78" s="10" t="s">
        <v>15</v>
      </c>
      <c r="G78" s="11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6500</v>
      </c>
      <c r="N78" s="18">
        <v>0</v>
      </c>
      <c r="O78" s="11">
        <f t="shared" si="0"/>
        <v>6500</v>
      </c>
    </row>
    <row r="79" spans="1:15" ht="69" customHeight="1" x14ac:dyDescent="0.2">
      <c r="A79" s="249"/>
      <c r="B79" s="249"/>
      <c r="C79" s="28" t="s">
        <v>71</v>
      </c>
      <c r="D79" s="10" t="s">
        <v>65</v>
      </c>
      <c r="E79" s="19"/>
      <c r="F79" s="10" t="s">
        <v>15</v>
      </c>
      <c r="G79" s="11">
        <v>0</v>
      </c>
      <c r="H79" s="18">
        <v>0</v>
      </c>
      <c r="I79" s="18">
        <v>0</v>
      </c>
      <c r="J79" s="18">
        <v>0</v>
      </c>
      <c r="K79" s="18">
        <v>0</v>
      </c>
      <c r="L79" s="18">
        <f>10000-2100</f>
        <v>7900</v>
      </c>
      <c r="M79" s="18">
        <v>0</v>
      </c>
      <c r="N79" s="18">
        <v>0</v>
      </c>
      <c r="O79" s="11">
        <f t="shared" si="0"/>
        <v>7900</v>
      </c>
    </row>
    <row r="80" spans="1:15" ht="70.5" customHeight="1" x14ac:dyDescent="0.2">
      <c r="A80" s="13"/>
      <c r="B80" s="30"/>
      <c r="C80" s="28" t="s">
        <v>72</v>
      </c>
      <c r="D80" s="10" t="s">
        <v>65</v>
      </c>
      <c r="E80" s="19"/>
      <c r="F80" s="10" t="s">
        <v>15</v>
      </c>
      <c r="G80" s="11">
        <v>0</v>
      </c>
      <c r="H80" s="18">
        <v>0</v>
      </c>
      <c r="I80" s="18">
        <v>0</v>
      </c>
      <c r="J80" s="18">
        <v>0</v>
      </c>
      <c r="K80" s="18">
        <v>0</v>
      </c>
      <c r="L80" s="18">
        <v>51559</v>
      </c>
      <c r="M80" s="18">
        <v>50074</v>
      </c>
      <c r="N80" s="18">
        <v>51535</v>
      </c>
      <c r="O80" s="11">
        <f t="shared" si="0"/>
        <v>153168</v>
      </c>
    </row>
    <row r="81" spans="1:16" ht="34.5" hidden="1" customHeight="1" x14ac:dyDescent="0.2">
      <c r="A81" s="13"/>
      <c r="B81" s="30"/>
      <c r="C81" s="28" t="s">
        <v>73</v>
      </c>
      <c r="D81" s="10" t="s">
        <v>65</v>
      </c>
      <c r="E81" s="19"/>
      <c r="F81" s="10" t="s">
        <v>74</v>
      </c>
      <c r="G81" s="11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1">
        <f t="shared" si="0"/>
        <v>0</v>
      </c>
    </row>
    <row r="82" spans="1:16" ht="70.5" customHeight="1" x14ac:dyDescent="0.2">
      <c r="A82" s="13"/>
      <c r="B82" s="30"/>
      <c r="C82" s="28" t="s">
        <v>75</v>
      </c>
      <c r="D82" s="51" t="s">
        <v>65</v>
      </c>
      <c r="E82" s="69"/>
      <c r="F82" s="46" t="s">
        <v>15</v>
      </c>
      <c r="G82" s="11">
        <v>0</v>
      </c>
      <c r="H82" s="18">
        <v>0</v>
      </c>
      <c r="I82" s="18">
        <v>0</v>
      </c>
      <c r="J82" s="18">
        <v>0</v>
      </c>
      <c r="K82" s="18">
        <v>0</v>
      </c>
      <c r="L82" s="18">
        <f>307183.1-2334.6</f>
        <v>304848.5</v>
      </c>
      <c r="M82" s="70">
        <f>361442.2-1000</f>
        <v>360442.2</v>
      </c>
      <c r="N82" s="71">
        <v>449833.8</v>
      </c>
      <c r="O82" s="11">
        <f>SUM(G82:N82)</f>
        <v>1115124.5</v>
      </c>
      <c r="P82" s="1">
        <f>241081.7-4606.7-11410.7-1283.9</f>
        <v>223780.4</v>
      </c>
    </row>
    <row r="83" spans="1:16" ht="69.75" customHeight="1" x14ac:dyDescent="0.2">
      <c r="A83" s="13"/>
      <c r="B83" s="30"/>
      <c r="C83" s="28" t="s">
        <v>76</v>
      </c>
      <c r="D83" s="51" t="s">
        <v>65</v>
      </c>
      <c r="E83" s="69"/>
      <c r="F83" s="46" t="s">
        <v>15</v>
      </c>
      <c r="G83" s="11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71">
        <v>2250</v>
      </c>
      <c r="N83" s="71">
        <v>0</v>
      </c>
      <c r="O83" s="11">
        <f>SUM(G83:N83)</f>
        <v>2250</v>
      </c>
      <c r="P83" s="1">
        <f>236295.5-4568.1-11064.2-1281.5</f>
        <v>219381.69999999998</v>
      </c>
    </row>
    <row r="84" spans="1:16" ht="73.5" customHeight="1" x14ac:dyDescent="0.2">
      <c r="A84" s="13"/>
      <c r="B84" s="30"/>
      <c r="C84" s="28" t="s">
        <v>77</v>
      </c>
      <c r="D84" s="51" t="s">
        <v>78</v>
      </c>
      <c r="E84" s="69"/>
      <c r="F84" s="46" t="s">
        <v>15</v>
      </c>
      <c r="G84" s="11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1">
        <f>72927.1+5360+16000</f>
        <v>94287.1</v>
      </c>
      <c r="N84" s="11">
        <f>87444.4+18000+9200+4235</f>
        <v>118879.4</v>
      </c>
      <c r="O84" s="11">
        <f>SUM(G84:N84)</f>
        <v>213166.5</v>
      </c>
      <c r="P84" s="1">
        <f>808468.2-777468.2</f>
        <v>31000</v>
      </c>
    </row>
    <row r="85" spans="1:16" ht="66.75" customHeight="1" x14ac:dyDescent="0.2">
      <c r="A85" s="13"/>
      <c r="B85" s="30"/>
      <c r="C85" s="28" t="s">
        <v>79</v>
      </c>
      <c r="D85" s="51">
        <v>2022</v>
      </c>
      <c r="E85" s="69"/>
      <c r="F85" s="46" t="s">
        <v>15</v>
      </c>
      <c r="G85" s="11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1">
        <v>1000</v>
      </c>
      <c r="N85" s="11">
        <v>0</v>
      </c>
      <c r="O85" s="11">
        <f>SUM(G85:N85)</f>
        <v>1000</v>
      </c>
    </row>
    <row r="86" spans="1:16" ht="66.75" customHeight="1" x14ac:dyDescent="0.2">
      <c r="A86" s="13"/>
      <c r="B86" s="68"/>
      <c r="C86" s="105"/>
      <c r="D86" s="106"/>
      <c r="E86" s="187"/>
      <c r="F86" s="143"/>
      <c r="G86" s="188"/>
      <c r="H86" s="189"/>
      <c r="I86" s="189"/>
      <c r="J86" s="189"/>
      <c r="K86" s="189"/>
      <c r="L86" s="189"/>
      <c r="M86" s="188"/>
      <c r="N86" s="188"/>
      <c r="O86" s="188"/>
    </row>
    <row r="87" spans="1:16" ht="74.25" customHeight="1" x14ac:dyDescent="0.2">
      <c r="A87" s="257" t="s">
        <v>81</v>
      </c>
      <c r="B87" s="258"/>
      <c r="C87" s="72"/>
      <c r="D87" s="73"/>
      <c r="E87" s="74"/>
      <c r="F87" s="23" t="s">
        <v>15</v>
      </c>
      <c r="G87" s="75">
        <f t="shared" ref="G87:L87" si="2">G12+G15+G16+G17+G18+G19+G20+G21+G22+G26+G27+G28+G29+G30+G31+G32+G33+G34+G38+G39+G40+G41+G42+G46+G47+G48+G49+G50++G63+G70+G71+G75+G76+G77+G78+G79+G80+G82+G84+G59+G64+G65+G66+G67+G68+G69+G85</f>
        <v>115838.47999999998</v>
      </c>
      <c r="H87" s="75">
        <f t="shared" si="2"/>
        <v>214504.09999999998</v>
      </c>
      <c r="I87" s="75">
        <f t="shared" si="2"/>
        <v>240425.5</v>
      </c>
      <c r="J87" s="75">
        <f t="shared" si="2"/>
        <v>295414.2</v>
      </c>
      <c r="K87" s="75">
        <f t="shared" si="2"/>
        <v>449477.26</v>
      </c>
      <c r="L87" s="75">
        <f t="shared" si="2"/>
        <v>628078.5</v>
      </c>
      <c r="M87" s="75">
        <f>M12+M15+M16+M17+M18+M19+M20+M21+M22+M26+M27+M28+M29+M30+M31+M32+M33+M34+M38+M39+M40+M41+M42+M46+M47+M48+M49+M50++M63+M70+M71+M75+M76+M77+M78+M79+M80+M82+M84+M59+M64+M65+M66+M67+M68+M69+M85+M83</f>
        <v>664788.29999999993</v>
      </c>
      <c r="N87" s="75">
        <f>N12+N15+N16+N17+N18+N19+N20+N21+N22+N26+N27+N28+N29+N30+N31+N32+N33+N34+N38+N39+N40+N41+N42+N46+N47+N48+N49+N50++N63+N70+N71+N75+N76+N77+N78+N79+N80+N82+N84+N59+N64+N65+N66+N67+N68+N69+N85+N83</f>
        <v>777468.20000000007</v>
      </c>
      <c r="O87" s="75">
        <f>O12+O15+O16+O17+O18+O19+O20+O21+O22+O26+O27+O28+O29+O30+O31+O32+O33+O34+O38+O39+O40+O41+O42+O46+O47+O48+O49+O50++O63+O70+O71+O75+O76+O77+O78+O79+O80+O82+O84+O59+O64+O65+O66+O67+O68+O69+O85+O83</f>
        <v>3385994.5399999996</v>
      </c>
      <c r="P87" s="1">
        <f>3417429.54-3385994.54</f>
        <v>31435</v>
      </c>
    </row>
    <row r="88" spans="1:16" ht="32.25" customHeight="1" x14ac:dyDescent="0.2">
      <c r="A88" s="241">
        <v>7</v>
      </c>
      <c r="B88" s="241"/>
      <c r="C88" s="241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1"/>
    </row>
    <row r="89" spans="1:16" ht="28.5" customHeight="1" x14ac:dyDescent="0.2">
      <c r="A89" s="246" t="s">
        <v>222</v>
      </c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</row>
    <row r="90" spans="1:16" ht="34.5" customHeight="1" x14ac:dyDescent="0.2">
      <c r="A90" s="76">
        <v>1</v>
      </c>
      <c r="B90" s="77">
        <v>2</v>
      </c>
      <c r="C90" s="78">
        <v>3</v>
      </c>
      <c r="D90" s="78">
        <v>4</v>
      </c>
      <c r="E90" s="78">
        <v>5</v>
      </c>
      <c r="F90" s="7">
        <v>6</v>
      </c>
      <c r="G90" s="7">
        <v>7</v>
      </c>
      <c r="H90" s="7">
        <v>8</v>
      </c>
      <c r="I90" s="7">
        <v>9</v>
      </c>
      <c r="J90" s="7">
        <v>10</v>
      </c>
      <c r="K90" s="7">
        <v>11</v>
      </c>
      <c r="L90" s="7">
        <v>12</v>
      </c>
      <c r="M90" s="7">
        <v>13</v>
      </c>
      <c r="N90" s="7">
        <v>14</v>
      </c>
      <c r="O90" s="7">
        <v>15</v>
      </c>
    </row>
    <row r="91" spans="1:16" ht="71.25" customHeight="1" x14ac:dyDescent="0.2">
      <c r="A91" s="79">
        <v>2</v>
      </c>
      <c r="B91" s="259" t="s">
        <v>82</v>
      </c>
      <c r="C91" s="80" t="s">
        <v>83</v>
      </c>
      <c r="D91" s="64" t="s">
        <v>13</v>
      </c>
      <c r="E91" s="260" t="s">
        <v>84</v>
      </c>
      <c r="F91" s="46" t="s">
        <v>15</v>
      </c>
      <c r="G91" s="11">
        <v>134514.32</v>
      </c>
      <c r="H91" s="11">
        <f>146683.2+8661.9</f>
        <v>155345.1</v>
      </c>
      <c r="I91" s="11">
        <v>209068.1</v>
      </c>
      <c r="J91" s="11">
        <v>224749.2</v>
      </c>
      <c r="K91" s="11">
        <v>310495.3</v>
      </c>
      <c r="L91" s="11">
        <f>24514+5642.2</f>
        <v>30156.2</v>
      </c>
      <c r="M91" s="11">
        <v>0</v>
      </c>
      <c r="N91" s="11">
        <v>0</v>
      </c>
      <c r="O91" s="11">
        <f t="shared" ref="O91:O154" si="3">SUM(G91:N91)</f>
        <v>1064328.22</v>
      </c>
    </row>
    <row r="92" spans="1:16" ht="88.5" customHeight="1" x14ac:dyDescent="0.2">
      <c r="A92" s="79"/>
      <c r="B92" s="259"/>
      <c r="C92" s="81" t="s">
        <v>85</v>
      </c>
      <c r="D92" s="59" t="s">
        <v>17</v>
      </c>
      <c r="E92" s="260"/>
      <c r="F92" s="46" t="s">
        <v>15</v>
      </c>
      <c r="G92" s="11">
        <v>3000</v>
      </c>
      <c r="H92" s="11">
        <v>12000</v>
      </c>
      <c r="I92" s="11">
        <v>3745</v>
      </c>
      <c r="J92" s="11">
        <v>8100</v>
      </c>
      <c r="K92" s="11">
        <v>9720</v>
      </c>
      <c r="L92" s="11">
        <f>0+979.5</f>
        <v>979.5</v>
      </c>
      <c r="M92" s="11">
        <v>0</v>
      </c>
      <c r="N92" s="11">
        <v>0</v>
      </c>
      <c r="O92" s="11">
        <f t="shared" si="3"/>
        <v>37544.5</v>
      </c>
    </row>
    <row r="93" spans="1:16" ht="86.25" customHeight="1" x14ac:dyDescent="0.2">
      <c r="A93" s="79"/>
      <c r="B93" s="30"/>
      <c r="C93" s="82" t="s">
        <v>86</v>
      </c>
      <c r="D93" s="51" t="s">
        <v>20</v>
      </c>
      <c r="E93" s="36" t="s">
        <v>87</v>
      </c>
      <c r="F93" s="46" t="s">
        <v>15</v>
      </c>
      <c r="G93" s="18">
        <v>0</v>
      </c>
      <c r="H93" s="11">
        <f>498.2+2700</f>
        <v>3198.2</v>
      </c>
      <c r="I93" s="11">
        <v>0</v>
      </c>
      <c r="J93" s="11">
        <v>2200</v>
      </c>
      <c r="K93" s="11">
        <v>5500</v>
      </c>
      <c r="L93" s="11">
        <v>0</v>
      </c>
      <c r="M93" s="11">
        <v>0</v>
      </c>
      <c r="N93" s="11">
        <v>0</v>
      </c>
      <c r="O93" s="11">
        <f t="shared" si="3"/>
        <v>10898.2</v>
      </c>
    </row>
    <row r="94" spans="1:16" ht="80.25" customHeight="1" x14ac:dyDescent="0.2">
      <c r="A94" s="69"/>
      <c r="B94" s="83"/>
      <c r="C94" s="82" t="s">
        <v>88</v>
      </c>
      <c r="D94" s="51" t="s">
        <v>17</v>
      </c>
      <c r="E94" s="36"/>
      <c r="F94" s="10" t="s">
        <v>15</v>
      </c>
      <c r="G94" s="11">
        <v>909</v>
      </c>
      <c r="H94" s="11">
        <v>1500</v>
      </c>
      <c r="I94" s="11">
        <v>1700</v>
      </c>
      <c r="J94" s="11">
        <v>1354.7</v>
      </c>
      <c r="K94" s="11">
        <v>1339.3</v>
      </c>
      <c r="L94" s="11">
        <f>0+564</f>
        <v>564</v>
      </c>
      <c r="M94" s="11">
        <v>0</v>
      </c>
      <c r="N94" s="11">
        <v>0</v>
      </c>
      <c r="O94" s="11">
        <f t="shared" si="3"/>
        <v>7367</v>
      </c>
    </row>
    <row r="95" spans="1:16" ht="112.5" customHeight="1" x14ac:dyDescent="0.2">
      <c r="A95" s="69"/>
      <c r="B95" s="83"/>
      <c r="C95" s="84" t="s">
        <v>89</v>
      </c>
      <c r="D95" s="51" t="s">
        <v>17</v>
      </c>
      <c r="E95" s="36"/>
      <c r="F95" s="10" t="s">
        <v>15</v>
      </c>
      <c r="G95" s="18">
        <v>0</v>
      </c>
      <c r="H95" s="18">
        <v>0</v>
      </c>
      <c r="I95" s="18">
        <v>0</v>
      </c>
      <c r="J95" s="11">
        <v>12867</v>
      </c>
      <c r="K95" s="18">
        <v>0</v>
      </c>
      <c r="L95" s="18">
        <v>0</v>
      </c>
      <c r="M95" s="18">
        <v>16000</v>
      </c>
      <c r="N95" s="18">
        <v>0</v>
      </c>
      <c r="O95" s="11">
        <f t="shared" si="3"/>
        <v>28867</v>
      </c>
    </row>
    <row r="96" spans="1:16" ht="84.75" customHeight="1" x14ac:dyDescent="0.2">
      <c r="A96" s="69"/>
      <c r="B96" s="83"/>
      <c r="C96" s="84" t="s">
        <v>90</v>
      </c>
      <c r="D96" s="51" t="s">
        <v>17</v>
      </c>
      <c r="E96" s="85"/>
      <c r="F96" s="10" t="s">
        <v>15</v>
      </c>
      <c r="G96" s="18">
        <v>0</v>
      </c>
      <c r="H96" s="11">
        <v>16000</v>
      </c>
      <c r="I96" s="18">
        <v>0</v>
      </c>
      <c r="J96" s="18">
        <v>0</v>
      </c>
      <c r="K96" s="18">
        <v>7218</v>
      </c>
      <c r="L96" s="18">
        <v>20000</v>
      </c>
      <c r="M96" s="18">
        <v>0</v>
      </c>
      <c r="N96" s="18">
        <v>0</v>
      </c>
      <c r="O96" s="11">
        <f t="shared" si="3"/>
        <v>43218</v>
      </c>
    </row>
    <row r="97" spans="1:15" ht="168.75" customHeight="1" x14ac:dyDescent="0.2">
      <c r="A97" s="69"/>
      <c r="B97" s="86"/>
      <c r="C97" s="87" t="s">
        <v>91</v>
      </c>
      <c r="D97" s="10" t="s">
        <v>17</v>
      </c>
      <c r="E97" s="29"/>
      <c r="F97" s="10" t="s">
        <v>15</v>
      </c>
      <c r="G97" s="18">
        <v>0</v>
      </c>
      <c r="H97" s="11">
        <v>6000</v>
      </c>
      <c r="I97" s="18">
        <v>0</v>
      </c>
      <c r="J97" s="18">
        <v>8000</v>
      </c>
      <c r="K97" s="18">
        <v>0</v>
      </c>
      <c r="L97" s="18">
        <v>7042</v>
      </c>
      <c r="M97" s="18">
        <v>0</v>
      </c>
      <c r="N97" s="18">
        <v>0</v>
      </c>
      <c r="O97" s="11">
        <f t="shared" si="3"/>
        <v>21042</v>
      </c>
    </row>
    <row r="98" spans="1:15" ht="95.25" customHeight="1" x14ac:dyDescent="0.2">
      <c r="A98" s="88"/>
      <c r="B98" s="89"/>
      <c r="C98" s="90" t="s">
        <v>92</v>
      </c>
      <c r="D98" s="23" t="s">
        <v>20</v>
      </c>
      <c r="E98" s="24"/>
      <c r="F98" s="23" t="s">
        <v>15</v>
      </c>
      <c r="G98" s="91">
        <v>0</v>
      </c>
      <c r="H98" s="61">
        <v>143</v>
      </c>
      <c r="I98" s="11">
        <v>195</v>
      </c>
      <c r="J98" s="11">
        <v>105</v>
      </c>
      <c r="K98" s="11">
        <v>105</v>
      </c>
      <c r="L98" s="11">
        <v>0</v>
      </c>
      <c r="M98" s="11">
        <v>0</v>
      </c>
      <c r="N98" s="11">
        <v>0</v>
      </c>
      <c r="O98" s="11">
        <f t="shared" si="3"/>
        <v>548</v>
      </c>
    </row>
    <row r="99" spans="1:15" ht="33.75" customHeight="1" x14ac:dyDescent="0.2">
      <c r="A99" s="241">
        <v>8</v>
      </c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</row>
    <row r="100" spans="1:15" ht="24.75" customHeight="1" x14ac:dyDescent="0.2">
      <c r="A100" s="246" t="s">
        <v>223</v>
      </c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</row>
    <row r="101" spans="1:15" ht="32.25" customHeight="1" x14ac:dyDescent="0.2">
      <c r="A101" s="7">
        <v>1</v>
      </c>
      <c r="B101" s="7">
        <v>2</v>
      </c>
      <c r="C101" s="7">
        <v>3</v>
      </c>
      <c r="D101" s="7">
        <v>4</v>
      </c>
      <c r="E101" s="7">
        <v>5</v>
      </c>
      <c r="F101" s="7">
        <v>6</v>
      </c>
      <c r="G101" s="7">
        <v>7</v>
      </c>
      <c r="H101" s="7">
        <v>8</v>
      </c>
      <c r="I101" s="7">
        <v>9</v>
      </c>
      <c r="J101" s="7">
        <v>10</v>
      </c>
      <c r="K101" s="7">
        <v>11</v>
      </c>
      <c r="L101" s="7">
        <v>12</v>
      </c>
      <c r="M101" s="7">
        <v>13</v>
      </c>
      <c r="N101" s="7">
        <v>14</v>
      </c>
      <c r="O101" s="7">
        <v>15</v>
      </c>
    </row>
    <row r="102" spans="1:15" ht="66.75" customHeight="1" x14ac:dyDescent="0.2">
      <c r="A102" s="69"/>
      <c r="B102" s="86"/>
      <c r="C102" s="87" t="s">
        <v>93</v>
      </c>
      <c r="D102" s="10" t="s">
        <v>20</v>
      </c>
      <c r="E102" s="29"/>
      <c r="F102" s="10" t="s">
        <v>15</v>
      </c>
      <c r="G102" s="18">
        <v>0</v>
      </c>
      <c r="H102" s="11">
        <v>1530.8</v>
      </c>
      <c r="I102" s="11">
        <v>490</v>
      </c>
      <c r="J102" s="11">
        <v>890</v>
      </c>
      <c r="K102" s="11">
        <v>0</v>
      </c>
      <c r="L102" s="11">
        <v>0</v>
      </c>
      <c r="M102" s="11">
        <v>0</v>
      </c>
      <c r="N102" s="11">
        <v>0</v>
      </c>
      <c r="O102" s="11">
        <f t="shared" si="3"/>
        <v>2910.8</v>
      </c>
    </row>
    <row r="103" spans="1:15" ht="66.75" customHeight="1" x14ac:dyDescent="0.2">
      <c r="A103" s="69"/>
      <c r="B103" s="86"/>
      <c r="C103" s="87" t="s">
        <v>94</v>
      </c>
      <c r="D103" s="10" t="s">
        <v>17</v>
      </c>
      <c r="E103" s="29"/>
      <c r="F103" s="10" t="s">
        <v>15</v>
      </c>
      <c r="G103" s="18">
        <v>0</v>
      </c>
      <c r="H103" s="11">
        <v>8085</v>
      </c>
      <c r="I103" s="11">
        <v>290.89999999999998</v>
      </c>
      <c r="J103" s="11">
        <v>7367</v>
      </c>
      <c r="K103" s="11">
        <v>8499.5</v>
      </c>
      <c r="L103" s="11">
        <v>62100</v>
      </c>
      <c r="M103" s="11">
        <v>66000</v>
      </c>
      <c r="N103" s="11">
        <v>72600</v>
      </c>
      <c r="O103" s="11">
        <f t="shared" si="3"/>
        <v>224942.4</v>
      </c>
    </row>
    <row r="104" spans="1:15" ht="70.5" customHeight="1" x14ac:dyDescent="0.2">
      <c r="A104" s="69"/>
      <c r="B104" s="30"/>
      <c r="C104" s="92" t="s">
        <v>95</v>
      </c>
      <c r="D104" s="59" t="s">
        <v>20</v>
      </c>
      <c r="E104" s="36"/>
      <c r="F104" s="46" t="s">
        <v>15</v>
      </c>
      <c r="G104" s="18">
        <v>0</v>
      </c>
      <c r="H104" s="11">
        <f>552+228</f>
        <v>780</v>
      </c>
      <c r="I104" s="11">
        <f>1936+2784</f>
        <v>4720</v>
      </c>
      <c r="J104" s="11">
        <f>1936+2784</f>
        <v>4720</v>
      </c>
      <c r="K104" s="11">
        <v>4720</v>
      </c>
      <c r="L104" s="11">
        <v>0</v>
      </c>
      <c r="M104" s="11">
        <v>0</v>
      </c>
      <c r="N104" s="11">
        <v>0</v>
      </c>
      <c r="O104" s="11">
        <f t="shared" si="3"/>
        <v>14940</v>
      </c>
    </row>
    <row r="105" spans="1:15" ht="71.25" customHeight="1" x14ac:dyDescent="0.2">
      <c r="A105" s="19"/>
      <c r="B105" s="93"/>
      <c r="C105" s="87" t="s">
        <v>96</v>
      </c>
      <c r="D105" s="51" t="s">
        <v>20</v>
      </c>
      <c r="E105" s="36"/>
      <c r="F105" s="46" t="s">
        <v>15</v>
      </c>
      <c r="G105" s="18">
        <v>0</v>
      </c>
      <c r="H105" s="11">
        <v>176</v>
      </c>
      <c r="I105" s="11">
        <v>500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f t="shared" si="3"/>
        <v>676</v>
      </c>
    </row>
    <row r="106" spans="1:15" ht="138.75" customHeight="1" x14ac:dyDescent="0.2">
      <c r="A106" s="94"/>
      <c r="B106" s="95"/>
      <c r="C106" s="28" t="s">
        <v>97</v>
      </c>
      <c r="D106" s="51">
        <v>2019</v>
      </c>
      <c r="E106" s="85"/>
      <c r="F106" s="10" t="s">
        <v>15</v>
      </c>
      <c r="G106" s="18">
        <v>0</v>
      </c>
      <c r="H106" s="11">
        <v>0</v>
      </c>
      <c r="I106" s="11">
        <v>0</v>
      </c>
      <c r="J106" s="11">
        <v>240</v>
      </c>
      <c r="K106" s="11">
        <v>0</v>
      </c>
      <c r="L106" s="11">
        <v>0</v>
      </c>
      <c r="M106" s="11">
        <v>0</v>
      </c>
      <c r="N106" s="11">
        <v>0</v>
      </c>
      <c r="O106" s="11">
        <f t="shared" si="3"/>
        <v>240</v>
      </c>
    </row>
    <row r="107" spans="1:15" ht="69" customHeight="1" x14ac:dyDescent="0.2">
      <c r="A107" s="19"/>
      <c r="B107" s="93"/>
      <c r="C107" s="17" t="s">
        <v>98</v>
      </c>
      <c r="D107" s="10">
        <v>2020</v>
      </c>
      <c r="E107" s="29"/>
      <c r="F107" s="10" t="s">
        <v>15</v>
      </c>
      <c r="G107" s="18">
        <v>0</v>
      </c>
      <c r="H107" s="11">
        <v>0</v>
      </c>
      <c r="I107" s="11">
        <v>0</v>
      </c>
      <c r="J107" s="11">
        <v>0</v>
      </c>
      <c r="K107" s="11">
        <v>1334.27</v>
      </c>
      <c r="L107" s="11">
        <v>0</v>
      </c>
      <c r="M107" s="11">
        <v>0</v>
      </c>
      <c r="N107" s="11">
        <v>0</v>
      </c>
      <c r="O107" s="11">
        <f t="shared" si="3"/>
        <v>1334.27</v>
      </c>
    </row>
    <row r="108" spans="1:15" ht="67.5" customHeight="1" x14ac:dyDescent="0.2">
      <c r="A108" s="19"/>
      <c r="B108" s="93"/>
      <c r="C108" s="17" t="s">
        <v>99</v>
      </c>
      <c r="D108" s="10" t="s">
        <v>100</v>
      </c>
      <c r="E108" s="29"/>
      <c r="F108" s="10" t="s">
        <v>15</v>
      </c>
      <c r="G108" s="18">
        <v>0</v>
      </c>
      <c r="H108" s="11">
        <v>0</v>
      </c>
      <c r="I108" s="11">
        <v>0</v>
      </c>
      <c r="J108" s="11">
        <v>0</v>
      </c>
      <c r="K108" s="11">
        <v>3500</v>
      </c>
      <c r="L108" s="11">
        <f>4500</f>
        <v>4500</v>
      </c>
      <c r="M108" s="11">
        <f>0+4500</f>
        <v>4500</v>
      </c>
      <c r="N108" s="11">
        <v>4800</v>
      </c>
      <c r="O108" s="11">
        <f t="shared" si="3"/>
        <v>17300</v>
      </c>
    </row>
    <row r="109" spans="1:15" ht="120" customHeight="1" x14ac:dyDescent="0.2">
      <c r="A109" s="19"/>
      <c r="B109" s="261"/>
      <c r="C109" s="17" t="s">
        <v>224</v>
      </c>
      <c r="D109" s="10">
        <v>2019</v>
      </c>
      <c r="E109" s="29"/>
      <c r="F109" s="10" t="s">
        <v>15</v>
      </c>
      <c r="G109" s="18">
        <v>0</v>
      </c>
      <c r="H109" s="11">
        <v>0</v>
      </c>
      <c r="I109" s="11">
        <v>0</v>
      </c>
      <c r="J109" s="11">
        <v>5200</v>
      </c>
      <c r="K109" s="11">
        <v>0</v>
      </c>
      <c r="L109" s="11">
        <v>0</v>
      </c>
      <c r="M109" s="11">
        <v>0</v>
      </c>
      <c r="N109" s="11">
        <v>0</v>
      </c>
      <c r="O109" s="11">
        <f t="shared" si="3"/>
        <v>5200</v>
      </c>
    </row>
    <row r="110" spans="1:15" ht="135" customHeight="1" x14ac:dyDescent="0.2">
      <c r="A110" s="67"/>
      <c r="B110" s="262"/>
      <c r="C110" s="22" t="s">
        <v>102</v>
      </c>
      <c r="D110" s="23" t="s">
        <v>46</v>
      </c>
      <c r="E110" s="24"/>
      <c r="F110" s="23" t="s">
        <v>15</v>
      </c>
      <c r="G110" s="91">
        <v>0</v>
      </c>
      <c r="H110" s="61">
        <v>0</v>
      </c>
      <c r="I110" s="61">
        <v>0</v>
      </c>
      <c r="J110" s="11">
        <v>400</v>
      </c>
      <c r="K110" s="11">
        <v>0</v>
      </c>
      <c r="L110" s="11">
        <v>69.55</v>
      </c>
      <c r="M110" s="11">
        <v>0</v>
      </c>
      <c r="N110" s="11">
        <v>0</v>
      </c>
      <c r="O110" s="11">
        <f t="shared" si="3"/>
        <v>469.55</v>
      </c>
    </row>
    <row r="111" spans="1:15" ht="21" customHeight="1" x14ac:dyDescent="0.2">
      <c r="A111" s="241">
        <v>9</v>
      </c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</row>
    <row r="112" spans="1:15" ht="27" customHeight="1" x14ac:dyDescent="0.2">
      <c r="A112" s="246" t="s">
        <v>222</v>
      </c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</row>
    <row r="113" spans="1:15" ht="32.25" customHeight="1" x14ac:dyDescent="0.2">
      <c r="A113" s="7">
        <v>1</v>
      </c>
      <c r="B113" s="7">
        <v>2</v>
      </c>
      <c r="C113" s="7">
        <v>3</v>
      </c>
      <c r="D113" s="7">
        <v>4</v>
      </c>
      <c r="E113" s="7">
        <v>5</v>
      </c>
      <c r="F113" s="7">
        <v>6</v>
      </c>
      <c r="G113" s="7">
        <v>7</v>
      </c>
      <c r="H113" s="7">
        <v>8</v>
      </c>
      <c r="I113" s="7">
        <v>9</v>
      </c>
      <c r="J113" s="7">
        <v>10</v>
      </c>
      <c r="K113" s="7">
        <v>11</v>
      </c>
      <c r="L113" s="7">
        <v>12</v>
      </c>
      <c r="M113" s="7">
        <v>13</v>
      </c>
      <c r="N113" s="7">
        <v>14</v>
      </c>
      <c r="O113" s="7">
        <v>15</v>
      </c>
    </row>
    <row r="114" spans="1:15" ht="92.25" customHeight="1" x14ac:dyDescent="0.2">
      <c r="A114" s="19"/>
      <c r="B114" s="93"/>
      <c r="C114" s="96" t="s">
        <v>103</v>
      </c>
      <c r="D114" s="10" t="s">
        <v>62</v>
      </c>
      <c r="E114" s="29"/>
      <c r="F114" s="10" t="s">
        <v>15</v>
      </c>
      <c r="G114" s="18">
        <v>0</v>
      </c>
      <c r="H114" s="11">
        <v>0</v>
      </c>
      <c r="I114" s="11">
        <v>0</v>
      </c>
      <c r="J114" s="11">
        <v>30000</v>
      </c>
      <c r="K114" s="11">
        <v>0</v>
      </c>
      <c r="L114" s="11">
        <v>0</v>
      </c>
      <c r="M114" s="11">
        <v>0</v>
      </c>
      <c r="N114" s="11">
        <v>0</v>
      </c>
      <c r="O114" s="11">
        <f t="shared" si="3"/>
        <v>30000</v>
      </c>
    </row>
    <row r="115" spans="1:15" ht="87" customHeight="1" x14ac:dyDescent="0.2">
      <c r="A115" s="79"/>
      <c r="B115" s="30"/>
      <c r="C115" s="97" t="s">
        <v>104</v>
      </c>
      <c r="D115" s="59" t="s">
        <v>46</v>
      </c>
      <c r="E115" s="36"/>
      <c r="F115" s="46" t="s">
        <v>15</v>
      </c>
      <c r="G115" s="18">
        <v>0</v>
      </c>
      <c r="H115" s="11">
        <v>0</v>
      </c>
      <c r="I115" s="11">
        <v>0</v>
      </c>
      <c r="J115" s="11">
        <v>7000</v>
      </c>
      <c r="K115" s="11">
        <v>13389</v>
      </c>
      <c r="L115" s="11">
        <f>0+4455</f>
        <v>4455</v>
      </c>
      <c r="M115" s="11">
        <f>0+2600+2000</f>
        <v>4600</v>
      </c>
      <c r="N115" s="11">
        <v>0</v>
      </c>
      <c r="O115" s="11">
        <f t="shared" si="3"/>
        <v>29444</v>
      </c>
    </row>
    <row r="116" spans="1:15" ht="111.75" customHeight="1" x14ac:dyDescent="0.2">
      <c r="A116" s="94"/>
      <c r="B116" s="95"/>
      <c r="C116" s="28" t="s">
        <v>225</v>
      </c>
      <c r="D116" s="51" t="s">
        <v>100</v>
      </c>
      <c r="E116" s="36"/>
      <c r="F116" s="46" t="s">
        <v>15</v>
      </c>
      <c r="G116" s="18">
        <v>0</v>
      </c>
      <c r="H116" s="18">
        <v>0</v>
      </c>
      <c r="I116" s="18">
        <v>0</v>
      </c>
      <c r="J116" s="18">
        <v>0</v>
      </c>
      <c r="K116" s="11">
        <v>200</v>
      </c>
      <c r="L116" s="11">
        <v>97.64</v>
      </c>
      <c r="M116" s="11">
        <v>0</v>
      </c>
      <c r="N116" s="11">
        <v>0</v>
      </c>
      <c r="O116" s="11">
        <f t="shared" si="3"/>
        <v>297.64</v>
      </c>
    </row>
    <row r="117" spans="1:15" ht="75" customHeight="1" x14ac:dyDescent="0.2">
      <c r="A117" s="19"/>
      <c r="B117" s="93"/>
      <c r="C117" s="96" t="s">
        <v>106</v>
      </c>
      <c r="D117" s="10">
        <v>2020</v>
      </c>
      <c r="E117" s="29"/>
      <c r="F117" s="10" t="s">
        <v>15</v>
      </c>
      <c r="G117" s="18">
        <v>0</v>
      </c>
      <c r="H117" s="11">
        <v>0</v>
      </c>
      <c r="I117" s="11">
        <v>0</v>
      </c>
      <c r="J117" s="11">
        <v>0</v>
      </c>
      <c r="K117" s="11">
        <v>50000</v>
      </c>
      <c r="L117" s="11">
        <v>0</v>
      </c>
      <c r="M117" s="11">
        <v>0</v>
      </c>
      <c r="N117" s="11">
        <v>0</v>
      </c>
      <c r="O117" s="11">
        <f t="shared" si="3"/>
        <v>50000</v>
      </c>
    </row>
    <row r="118" spans="1:15" ht="71.25" customHeight="1" x14ac:dyDescent="0.2">
      <c r="A118" s="19"/>
      <c r="B118" s="93"/>
      <c r="C118" s="96" t="s">
        <v>107</v>
      </c>
      <c r="D118" s="10">
        <v>2020</v>
      </c>
      <c r="E118" s="29"/>
      <c r="F118" s="10" t="s">
        <v>15</v>
      </c>
      <c r="G118" s="18">
        <v>0</v>
      </c>
      <c r="H118" s="11">
        <v>0</v>
      </c>
      <c r="I118" s="11">
        <v>0</v>
      </c>
      <c r="J118" s="11">
        <v>0</v>
      </c>
      <c r="K118" s="11">
        <v>690</v>
      </c>
      <c r="L118" s="11">
        <v>0</v>
      </c>
      <c r="M118" s="11">
        <v>0</v>
      </c>
      <c r="N118" s="11">
        <v>0</v>
      </c>
      <c r="O118" s="11">
        <f t="shared" si="3"/>
        <v>690</v>
      </c>
    </row>
    <row r="119" spans="1:15" ht="84" customHeight="1" x14ac:dyDescent="0.2">
      <c r="A119" s="19"/>
      <c r="B119" s="93"/>
      <c r="C119" s="17" t="s">
        <v>108</v>
      </c>
      <c r="D119" s="10">
        <v>2020</v>
      </c>
      <c r="E119" s="29"/>
      <c r="F119" s="10" t="s">
        <v>15</v>
      </c>
      <c r="G119" s="18">
        <v>0</v>
      </c>
      <c r="H119" s="11">
        <v>0</v>
      </c>
      <c r="I119" s="11">
        <v>0</v>
      </c>
      <c r="J119" s="11">
        <v>0</v>
      </c>
      <c r="K119" s="11">
        <v>900</v>
      </c>
      <c r="L119" s="11">
        <v>0</v>
      </c>
      <c r="M119" s="11">
        <v>0</v>
      </c>
      <c r="N119" s="11">
        <v>0</v>
      </c>
      <c r="O119" s="11">
        <f t="shared" si="3"/>
        <v>900</v>
      </c>
    </row>
    <row r="120" spans="1:15" ht="121.5" customHeight="1" x14ac:dyDescent="0.2">
      <c r="A120" s="98"/>
      <c r="B120" s="99"/>
      <c r="C120" s="17" t="s">
        <v>109</v>
      </c>
      <c r="D120" s="10" t="s">
        <v>100</v>
      </c>
      <c r="E120" s="29"/>
      <c r="F120" s="10" t="s">
        <v>15</v>
      </c>
      <c r="G120" s="18">
        <v>0</v>
      </c>
      <c r="H120" s="11">
        <v>0</v>
      </c>
      <c r="I120" s="11">
        <v>0</v>
      </c>
      <c r="J120" s="11">
        <v>0</v>
      </c>
      <c r="K120" s="11">
        <v>2334.5</v>
      </c>
      <c r="L120" s="11">
        <v>1892.3</v>
      </c>
      <c r="M120" s="11">
        <v>0</v>
      </c>
      <c r="N120" s="11">
        <v>0</v>
      </c>
      <c r="O120" s="11">
        <f t="shared" si="3"/>
        <v>4226.8</v>
      </c>
    </row>
    <row r="121" spans="1:15" ht="72" customHeight="1" x14ac:dyDescent="0.2">
      <c r="A121" s="98"/>
      <c r="B121" s="99"/>
      <c r="C121" s="17" t="s">
        <v>110</v>
      </c>
      <c r="D121" s="10" t="s">
        <v>100</v>
      </c>
      <c r="E121" s="19"/>
      <c r="F121" s="10" t="s">
        <v>15</v>
      </c>
      <c r="G121" s="18">
        <v>0</v>
      </c>
      <c r="H121" s="11">
        <v>0</v>
      </c>
      <c r="I121" s="11">
        <v>0</v>
      </c>
      <c r="J121" s="11">
        <v>0</v>
      </c>
      <c r="K121" s="11">
        <v>1168.73</v>
      </c>
      <c r="L121" s="11">
        <f>0+320.8</f>
        <v>320.8</v>
      </c>
      <c r="M121" s="11">
        <v>0</v>
      </c>
      <c r="N121" s="11">
        <v>0</v>
      </c>
      <c r="O121" s="11">
        <f t="shared" si="3"/>
        <v>1489.53</v>
      </c>
    </row>
    <row r="122" spans="1:15" ht="99.75" customHeight="1" x14ac:dyDescent="0.2">
      <c r="A122" s="100"/>
      <c r="B122" s="101"/>
      <c r="C122" s="22" t="s">
        <v>226</v>
      </c>
      <c r="D122" s="23" t="s">
        <v>112</v>
      </c>
      <c r="E122" s="67"/>
      <c r="F122" s="23" t="s">
        <v>15</v>
      </c>
      <c r="G122" s="91">
        <v>0</v>
      </c>
      <c r="H122" s="11">
        <v>0</v>
      </c>
      <c r="I122" s="11">
        <v>0</v>
      </c>
      <c r="J122" s="11">
        <v>0</v>
      </c>
      <c r="K122" s="11">
        <v>500</v>
      </c>
      <c r="L122" s="11">
        <v>500</v>
      </c>
      <c r="M122" s="11">
        <v>0</v>
      </c>
      <c r="N122" s="11">
        <v>0</v>
      </c>
      <c r="O122" s="11">
        <f t="shared" si="3"/>
        <v>1000</v>
      </c>
    </row>
    <row r="123" spans="1:15" ht="30" customHeight="1" x14ac:dyDescent="0.2">
      <c r="A123" s="241">
        <v>10</v>
      </c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</row>
    <row r="124" spans="1:15" ht="21" customHeight="1" x14ac:dyDescent="0.2">
      <c r="A124" s="246" t="s">
        <v>222</v>
      </c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</row>
    <row r="125" spans="1:15" ht="36.75" customHeight="1" x14ac:dyDescent="0.2">
      <c r="A125" s="7">
        <v>1</v>
      </c>
      <c r="B125" s="7">
        <v>2</v>
      </c>
      <c r="C125" s="7">
        <v>3</v>
      </c>
      <c r="D125" s="7">
        <v>4</v>
      </c>
      <c r="E125" s="7">
        <v>5</v>
      </c>
      <c r="F125" s="7">
        <v>6</v>
      </c>
      <c r="G125" s="7">
        <v>7</v>
      </c>
      <c r="H125" s="7">
        <v>8</v>
      </c>
      <c r="I125" s="7">
        <v>9</v>
      </c>
      <c r="J125" s="7">
        <v>10</v>
      </c>
      <c r="K125" s="7">
        <v>11</v>
      </c>
      <c r="L125" s="7">
        <v>12</v>
      </c>
      <c r="M125" s="7">
        <v>13</v>
      </c>
      <c r="N125" s="7">
        <v>14</v>
      </c>
      <c r="O125" s="7">
        <v>15</v>
      </c>
    </row>
    <row r="126" spans="1:15" ht="66" customHeight="1" x14ac:dyDescent="0.2">
      <c r="A126" s="98"/>
      <c r="B126" s="99"/>
      <c r="C126" s="17" t="s">
        <v>113</v>
      </c>
      <c r="D126" s="10" t="s">
        <v>65</v>
      </c>
      <c r="E126" s="19"/>
      <c r="F126" s="10" t="s">
        <v>15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1">
        <v>5200</v>
      </c>
      <c r="M126" s="11">
        <f>2860-2860</f>
        <v>0</v>
      </c>
      <c r="N126" s="11">
        <v>3150</v>
      </c>
      <c r="O126" s="11">
        <f t="shared" si="3"/>
        <v>8350</v>
      </c>
    </row>
    <row r="127" spans="1:15" ht="76.5" customHeight="1" x14ac:dyDescent="0.2">
      <c r="A127" s="102"/>
      <c r="B127" s="103"/>
      <c r="C127" s="39" t="s">
        <v>114</v>
      </c>
      <c r="D127" s="59" t="s">
        <v>65</v>
      </c>
      <c r="E127" s="69" t="s">
        <v>115</v>
      </c>
      <c r="F127" s="46" t="s">
        <v>15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1">
        <v>2300</v>
      </c>
      <c r="M127" s="11">
        <v>0</v>
      </c>
      <c r="N127" s="11">
        <v>2800</v>
      </c>
      <c r="O127" s="11">
        <f t="shared" si="3"/>
        <v>5100</v>
      </c>
    </row>
    <row r="128" spans="1:15" ht="93.75" customHeight="1" x14ac:dyDescent="0.2">
      <c r="A128" s="98"/>
      <c r="B128" s="99"/>
      <c r="C128" s="17" t="s">
        <v>116</v>
      </c>
      <c r="D128" s="10" t="s">
        <v>65</v>
      </c>
      <c r="E128" s="19"/>
      <c r="F128" s="10" t="s">
        <v>15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1">
        <v>24900</v>
      </c>
      <c r="M128" s="11">
        <f>27309.5-27309.5</f>
        <v>0</v>
      </c>
      <c r="N128" s="11">
        <v>0</v>
      </c>
      <c r="O128" s="11">
        <f t="shared" si="3"/>
        <v>24900</v>
      </c>
    </row>
    <row r="129" spans="1:15" ht="63" hidden="1" customHeight="1" x14ac:dyDescent="0.2">
      <c r="A129" s="98"/>
      <c r="B129" s="99"/>
      <c r="C129" s="17" t="s">
        <v>117</v>
      </c>
      <c r="D129" s="10" t="s">
        <v>65</v>
      </c>
      <c r="E129" s="19"/>
      <c r="F129" s="10" t="s">
        <v>74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1">
        <v>0</v>
      </c>
      <c r="M129" s="11">
        <v>0</v>
      </c>
      <c r="N129" s="11">
        <v>0</v>
      </c>
      <c r="O129" s="11">
        <f t="shared" si="3"/>
        <v>0</v>
      </c>
    </row>
    <row r="130" spans="1:15" ht="72.75" customHeight="1" x14ac:dyDescent="0.2">
      <c r="A130" s="98"/>
      <c r="B130" s="99"/>
      <c r="C130" s="17" t="s">
        <v>118</v>
      </c>
      <c r="D130" s="10" t="s">
        <v>65</v>
      </c>
      <c r="E130" s="19"/>
      <c r="F130" s="10" t="s">
        <v>15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1">
        <v>1000</v>
      </c>
      <c r="M130" s="11">
        <v>0</v>
      </c>
      <c r="N130" s="11">
        <v>0</v>
      </c>
      <c r="O130" s="11">
        <f t="shared" si="3"/>
        <v>1000</v>
      </c>
    </row>
    <row r="131" spans="1:15" ht="71.25" customHeight="1" x14ac:dyDescent="0.2">
      <c r="A131" s="98"/>
      <c r="B131" s="99"/>
      <c r="C131" s="17" t="s">
        <v>119</v>
      </c>
      <c r="D131" s="10" t="s">
        <v>65</v>
      </c>
      <c r="E131" s="19"/>
      <c r="F131" s="10" t="s">
        <v>15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1">
        <v>425000</v>
      </c>
      <c r="M131" s="11">
        <v>510000</v>
      </c>
      <c r="N131" s="11">
        <v>225000</v>
      </c>
      <c r="O131" s="11">
        <f t="shared" si="3"/>
        <v>1160000</v>
      </c>
    </row>
    <row r="132" spans="1:15" ht="74.25" customHeight="1" x14ac:dyDescent="0.2">
      <c r="A132" s="98"/>
      <c r="B132" s="99"/>
      <c r="C132" s="17" t="s">
        <v>120</v>
      </c>
      <c r="D132" s="10" t="s">
        <v>65</v>
      </c>
      <c r="E132" s="19"/>
      <c r="F132" s="10" t="s">
        <v>15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1">
        <v>0</v>
      </c>
      <c r="M132" s="11">
        <v>400</v>
      </c>
      <c r="N132" s="11">
        <v>0</v>
      </c>
      <c r="O132" s="11">
        <f t="shared" si="3"/>
        <v>400</v>
      </c>
    </row>
    <row r="133" spans="1:15" ht="78" customHeight="1" x14ac:dyDescent="0.2">
      <c r="A133" s="98"/>
      <c r="B133" s="99"/>
      <c r="C133" s="17" t="s">
        <v>121</v>
      </c>
      <c r="D133" s="10" t="s">
        <v>65</v>
      </c>
      <c r="E133" s="19"/>
      <c r="F133" s="10" t="s">
        <v>15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1">
        <v>0</v>
      </c>
      <c r="M133" s="11">
        <v>300</v>
      </c>
      <c r="N133" s="11">
        <v>0</v>
      </c>
      <c r="O133" s="11">
        <f t="shared" si="3"/>
        <v>300</v>
      </c>
    </row>
    <row r="134" spans="1:15" ht="85.5" customHeight="1" x14ac:dyDescent="0.2">
      <c r="A134" s="98"/>
      <c r="B134" s="99"/>
      <c r="C134" s="17" t="s">
        <v>122</v>
      </c>
      <c r="D134" s="10" t="s">
        <v>65</v>
      </c>
      <c r="E134" s="19"/>
      <c r="F134" s="10" t="s">
        <v>15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1">
        <v>0</v>
      </c>
      <c r="M134" s="11">
        <v>200</v>
      </c>
      <c r="N134" s="11">
        <v>0</v>
      </c>
      <c r="O134" s="11">
        <f t="shared" si="3"/>
        <v>200</v>
      </c>
    </row>
    <row r="135" spans="1:15" ht="83.25" customHeight="1" x14ac:dyDescent="0.2">
      <c r="A135" s="102"/>
      <c r="B135" s="104"/>
      <c r="C135" s="105" t="s">
        <v>123</v>
      </c>
      <c r="D135" s="106" t="s">
        <v>65</v>
      </c>
      <c r="E135" s="69"/>
      <c r="F135" s="46" t="s">
        <v>15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1">
        <v>0</v>
      </c>
      <c r="M135" s="11">
        <v>120</v>
      </c>
      <c r="N135" s="11">
        <v>0</v>
      </c>
      <c r="O135" s="11">
        <f t="shared" si="3"/>
        <v>120</v>
      </c>
    </row>
    <row r="136" spans="1:15" ht="92.25" customHeight="1" x14ac:dyDescent="0.2">
      <c r="A136" s="107"/>
      <c r="B136" s="108"/>
      <c r="C136" s="43" t="s">
        <v>124</v>
      </c>
      <c r="D136" s="109" t="s">
        <v>65</v>
      </c>
      <c r="E136" s="88"/>
      <c r="F136" s="46" t="s">
        <v>15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1">
        <v>0</v>
      </c>
      <c r="M136" s="11">
        <v>135</v>
      </c>
      <c r="N136" s="11">
        <v>0</v>
      </c>
      <c r="O136" s="11">
        <f t="shared" si="3"/>
        <v>135</v>
      </c>
    </row>
    <row r="137" spans="1:15" ht="33" customHeight="1" x14ac:dyDescent="0.2">
      <c r="A137" s="241">
        <v>11</v>
      </c>
      <c r="B137" s="241"/>
      <c r="C137" s="241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</row>
    <row r="138" spans="1:15" ht="25.5" customHeight="1" x14ac:dyDescent="0.2">
      <c r="A138" s="246" t="s">
        <v>222</v>
      </c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</row>
    <row r="139" spans="1:15" ht="33.75" customHeight="1" x14ac:dyDescent="0.2">
      <c r="A139" s="7">
        <v>1</v>
      </c>
      <c r="B139" s="7">
        <v>2</v>
      </c>
      <c r="C139" s="7">
        <v>3</v>
      </c>
      <c r="D139" s="7">
        <v>4</v>
      </c>
      <c r="E139" s="7">
        <v>5</v>
      </c>
      <c r="F139" s="7">
        <v>6</v>
      </c>
      <c r="G139" s="7">
        <v>7</v>
      </c>
      <c r="H139" s="7">
        <v>8</v>
      </c>
      <c r="I139" s="7">
        <v>9</v>
      </c>
      <c r="J139" s="7">
        <v>10</v>
      </c>
      <c r="K139" s="7">
        <v>11</v>
      </c>
      <c r="L139" s="7">
        <v>12</v>
      </c>
      <c r="M139" s="7">
        <v>13</v>
      </c>
      <c r="N139" s="7">
        <v>14</v>
      </c>
      <c r="O139" s="7">
        <v>15</v>
      </c>
    </row>
    <row r="140" spans="1:15" ht="80.25" customHeight="1" x14ac:dyDescent="0.2">
      <c r="A140" s="98"/>
      <c r="B140" s="99"/>
      <c r="C140" s="17" t="s">
        <v>125</v>
      </c>
      <c r="D140" s="10" t="s">
        <v>65</v>
      </c>
      <c r="E140" s="19"/>
      <c r="F140" s="10" t="s">
        <v>15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1">
        <v>0</v>
      </c>
      <c r="M140" s="11">
        <v>150</v>
      </c>
      <c r="N140" s="11">
        <v>0</v>
      </c>
      <c r="O140" s="11">
        <f t="shared" si="3"/>
        <v>150</v>
      </c>
    </row>
    <row r="141" spans="1:15" ht="79.5" customHeight="1" x14ac:dyDescent="0.2">
      <c r="A141" s="110"/>
      <c r="B141" s="104"/>
      <c r="C141" s="39" t="s">
        <v>126</v>
      </c>
      <c r="D141" s="59" t="s">
        <v>65</v>
      </c>
      <c r="E141" s="69"/>
      <c r="F141" s="46" t="s">
        <v>15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1">
        <v>0</v>
      </c>
      <c r="M141" s="11">
        <v>320</v>
      </c>
      <c r="N141" s="11">
        <v>0</v>
      </c>
      <c r="O141" s="11">
        <f t="shared" si="3"/>
        <v>320</v>
      </c>
    </row>
    <row r="142" spans="1:15" ht="90" customHeight="1" x14ac:dyDescent="0.2">
      <c r="A142" s="110"/>
      <c r="B142" s="104"/>
      <c r="C142" s="28" t="s">
        <v>127</v>
      </c>
      <c r="D142" s="51" t="s">
        <v>65</v>
      </c>
      <c r="E142" s="69"/>
      <c r="F142" s="46" t="s">
        <v>15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1">
        <v>500</v>
      </c>
      <c r="M142" s="11">
        <v>0</v>
      </c>
      <c r="N142" s="11">
        <v>0</v>
      </c>
      <c r="O142" s="11">
        <f t="shared" si="3"/>
        <v>500</v>
      </c>
    </row>
    <row r="143" spans="1:15" ht="90" customHeight="1" x14ac:dyDescent="0.2">
      <c r="A143" s="98"/>
      <c r="B143" s="99"/>
      <c r="C143" s="17" t="s">
        <v>128</v>
      </c>
      <c r="D143" s="10" t="s">
        <v>65</v>
      </c>
      <c r="E143" s="19"/>
      <c r="F143" s="10" t="s">
        <v>15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1">
        <v>0</v>
      </c>
      <c r="M143" s="11">
        <v>500</v>
      </c>
      <c r="N143" s="11">
        <v>0</v>
      </c>
      <c r="O143" s="11">
        <f t="shared" si="3"/>
        <v>500</v>
      </c>
    </row>
    <row r="144" spans="1:15" ht="66.75" customHeight="1" x14ac:dyDescent="0.2">
      <c r="A144" s="98"/>
      <c r="B144" s="99"/>
      <c r="C144" s="17" t="s">
        <v>129</v>
      </c>
      <c r="D144" s="10" t="s">
        <v>65</v>
      </c>
      <c r="E144" s="19"/>
      <c r="F144" s="10" t="s">
        <v>15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1">
        <v>410</v>
      </c>
      <c r="M144" s="11">
        <v>0</v>
      </c>
      <c r="N144" s="11">
        <v>0</v>
      </c>
      <c r="O144" s="11">
        <f t="shared" si="3"/>
        <v>410</v>
      </c>
    </row>
    <row r="145" spans="1:15" ht="69" customHeight="1" x14ac:dyDescent="0.2">
      <c r="A145" s="98"/>
      <c r="B145" s="99"/>
      <c r="C145" s="17" t="s">
        <v>130</v>
      </c>
      <c r="D145" s="10" t="s">
        <v>65</v>
      </c>
      <c r="E145" s="19"/>
      <c r="F145" s="10" t="s">
        <v>15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1">
        <v>0</v>
      </c>
      <c r="M145" s="11">
        <v>0</v>
      </c>
      <c r="N145" s="11">
        <v>15000</v>
      </c>
      <c r="O145" s="11">
        <f t="shared" si="3"/>
        <v>15000</v>
      </c>
    </row>
    <row r="146" spans="1:15" ht="75" customHeight="1" x14ac:dyDescent="0.2">
      <c r="A146" s="98"/>
      <c r="B146" s="99"/>
      <c r="C146" s="17" t="s">
        <v>131</v>
      </c>
      <c r="D146" s="10" t="s">
        <v>65</v>
      </c>
      <c r="E146" s="19"/>
      <c r="F146" s="10" t="s">
        <v>15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1">
        <v>0</v>
      </c>
      <c r="M146" s="11">
        <v>0</v>
      </c>
      <c r="N146" s="11">
        <v>3400</v>
      </c>
      <c r="O146" s="11">
        <f t="shared" si="3"/>
        <v>3400</v>
      </c>
    </row>
    <row r="147" spans="1:15" ht="74.25" customHeight="1" x14ac:dyDescent="0.2">
      <c r="A147" s="102"/>
      <c r="B147" s="104"/>
      <c r="C147" s="28" t="s">
        <v>132</v>
      </c>
      <c r="D147" s="10" t="s">
        <v>65</v>
      </c>
      <c r="E147" s="19"/>
      <c r="F147" s="10" t="s">
        <v>15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1">
        <v>0</v>
      </c>
      <c r="M147" s="11">
        <v>0</v>
      </c>
      <c r="N147" s="11">
        <v>1200</v>
      </c>
      <c r="O147" s="11">
        <f t="shared" si="3"/>
        <v>1200</v>
      </c>
    </row>
    <row r="148" spans="1:15" ht="72.75" customHeight="1" x14ac:dyDescent="0.2">
      <c r="A148" s="102"/>
      <c r="B148" s="104"/>
      <c r="C148" s="28" t="s">
        <v>133</v>
      </c>
      <c r="D148" s="10" t="s">
        <v>65</v>
      </c>
      <c r="E148" s="19"/>
      <c r="F148" s="10" t="s">
        <v>15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1">
        <v>0</v>
      </c>
      <c r="M148" s="11">
        <v>1000</v>
      </c>
      <c r="N148" s="11">
        <v>0</v>
      </c>
      <c r="O148" s="11">
        <f t="shared" si="3"/>
        <v>1000</v>
      </c>
    </row>
    <row r="149" spans="1:15" ht="89.25" customHeight="1" x14ac:dyDescent="0.2">
      <c r="A149" s="107"/>
      <c r="B149" s="108"/>
      <c r="C149" s="28" t="s">
        <v>134</v>
      </c>
      <c r="D149" s="10" t="s">
        <v>65</v>
      </c>
      <c r="E149" s="67"/>
      <c r="F149" s="10" t="s">
        <v>15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1">
        <v>0</v>
      </c>
      <c r="M149" s="11">
        <v>0</v>
      </c>
      <c r="N149" s="11">
        <v>300</v>
      </c>
      <c r="O149" s="11">
        <f t="shared" si="3"/>
        <v>300</v>
      </c>
    </row>
    <row r="150" spans="1:15" ht="33.75" customHeight="1" x14ac:dyDescent="0.2">
      <c r="A150" s="241">
        <v>12</v>
      </c>
      <c r="B150" s="241"/>
      <c r="C150" s="241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</row>
    <row r="151" spans="1:15" ht="29.25" customHeight="1" x14ac:dyDescent="0.2">
      <c r="A151" s="246" t="s">
        <v>222</v>
      </c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</row>
    <row r="152" spans="1:15" ht="30.75" customHeight="1" x14ac:dyDescent="0.2">
      <c r="A152" s="7">
        <v>1</v>
      </c>
      <c r="B152" s="7">
        <v>2</v>
      </c>
      <c r="C152" s="7">
        <v>3</v>
      </c>
      <c r="D152" s="7">
        <v>4</v>
      </c>
      <c r="E152" s="7">
        <v>5</v>
      </c>
      <c r="F152" s="7">
        <v>6</v>
      </c>
      <c r="G152" s="7">
        <v>7</v>
      </c>
      <c r="H152" s="7">
        <v>8</v>
      </c>
      <c r="I152" s="7">
        <v>9</v>
      </c>
      <c r="J152" s="7">
        <v>10</v>
      </c>
      <c r="K152" s="7">
        <v>11</v>
      </c>
      <c r="L152" s="7">
        <v>12</v>
      </c>
      <c r="M152" s="7">
        <v>13</v>
      </c>
      <c r="N152" s="7">
        <v>14</v>
      </c>
      <c r="O152" s="7">
        <v>15</v>
      </c>
    </row>
    <row r="153" spans="1:15" ht="78.75" customHeight="1" x14ac:dyDescent="0.2">
      <c r="A153" s="98"/>
      <c r="B153" s="99"/>
      <c r="C153" s="17" t="s">
        <v>135</v>
      </c>
      <c r="D153" s="10" t="s">
        <v>65</v>
      </c>
      <c r="E153" s="19"/>
      <c r="F153" s="10" t="s">
        <v>15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1">
        <v>0</v>
      </c>
      <c r="M153" s="11">
        <v>0</v>
      </c>
      <c r="N153" s="11">
        <v>350</v>
      </c>
      <c r="O153" s="11">
        <f t="shared" si="3"/>
        <v>350</v>
      </c>
    </row>
    <row r="154" spans="1:15" ht="84" customHeight="1" x14ac:dyDescent="0.2">
      <c r="A154" s="102"/>
      <c r="B154" s="104"/>
      <c r="C154" s="39" t="s">
        <v>136</v>
      </c>
      <c r="D154" s="59" t="s">
        <v>65</v>
      </c>
      <c r="E154" s="69"/>
      <c r="F154" s="46" t="s">
        <v>15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1">
        <v>0</v>
      </c>
      <c r="M154" s="11">
        <v>0</v>
      </c>
      <c r="N154" s="11">
        <v>400</v>
      </c>
      <c r="O154" s="11">
        <f t="shared" si="3"/>
        <v>400</v>
      </c>
    </row>
    <row r="155" spans="1:15" ht="80.25" customHeight="1" x14ac:dyDescent="0.2">
      <c r="A155" s="98"/>
      <c r="B155" s="99"/>
      <c r="C155" s="17" t="s">
        <v>137</v>
      </c>
      <c r="D155" s="10" t="s">
        <v>65</v>
      </c>
      <c r="E155" s="19"/>
      <c r="F155" s="10" t="s">
        <v>15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1">
        <v>0</v>
      </c>
      <c r="M155" s="11">
        <f>5000-5000</f>
        <v>0</v>
      </c>
      <c r="N155" s="11">
        <v>0</v>
      </c>
      <c r="O155" s="11">
        <f t="shared" ref="O155:O171" si="4">SUM(G155:N155)</f>
        <v>0</v>
      </c>
    </row>
    <row r="156" spans="1:15" ht="72.75" customHeight="1" x14ac:dyDescent="0.2">
      <c r="A156" s="98"/>
      <c r="B156" s="99"/>
      <c r="C156" s="17" t="s">
        <v>138</v>
      </c>
      <c r="D156" s="10" t="s">
        <v>65</v>
      </c>
      <c r="E156" s="19"/>
      <c r="F156" s="10" t="s">
        <v>15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1">
        <v>0</v>
      </c>
      <c r="M156" s="11">
        <v>0</v>
      </c>
      <c r="N156" s="11">
        <v>12000</v>
      </c>
      <c r="O156" s="11">
        <f t="shared" si="4"/>
        <v>12000</v>
      </c>
    </row>
    <row r="157" spans="1:15" ht="90" customHeight="1" x14ac:dyDescent="0.2">
      <c r="A157" s="98"/>
      <c r="B157" s="99"/>
      <c r="C157" s="17" t="s">
        <v>139</v>
      </c>
      <c r="D157" s="10" t="s">
        <v>65</v>
      </c>
      <c r="E157" s="19"/>
      <c r="F157" s="10" t="s">
        <v>15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1">
        <v>0</v>
      </c>
      <c r="M157" s="11">
        <f>18000-488.9+99.5</f>
        <v>17610.599999999999</v>
      </c>
      <c r="N157" s="11">
        <v>0</v>
      </c>
      <c r="O157" s="11">
        <f t="shared" si="4"/>
        <v>17610.599999999999</v>
      </c>
    </row>
    <row r="158" spans="1:15" ht="107.25" customHeight="1" x14ac:dyDescent="0.2">
      <c r="A158" s="98"/>
      <c r="B158" s="99"/>
      <c r="C158" s="17" t="s">
        <v>140</v>
      </c>
      <c r="D158" s="10" t="s">
        <v>65</v>
      </c>
      <c r="E158" s="19"/>
      <c r="F158" s="10" t="s">
        <v>15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1">
        <v>0</v>
      </c>
      <c r="M158" s="11">
        <v>0</v>
      </c>
      <c r="N158" s="11">
        <v>18000</v>
      </c>
      <c r="O158" s="11">
        <f t="shared" si="4"/>
        <v>18000</v>
      </c>
    </row>
    <row r="159" spans="1:15" ht="95.25" customHeight="1" x14ac:dyDescent="0.2">
      <c r="A159" s="98"/>
      <c r="B159" s="99"/>
      <c r="C159" s="111" t="s">
        <v>141</v>
      </c>
      <c r="D159" s="10" t="s">
        <v>65</v>
      </c>
      <c r="E159" s="19"/>
      <c r="F159" s="10" t="s">
        <v>15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1">
        <v>0</v>
      </c>
      <c r="M159" s="11">
        <v>120</v>
      </c>
      <c r="N159" s="11">
        <v>0</v>
      </c>
      <c r="O159" s="11">
        <f t="shared" si="4"/>
        <v>120</v>
      </c>
    </row>
    <row r="160" spans="1:15" ht="90" customHeight="1" x14ac:dyDescent="0.2">
      <c r="A160" s="102"/>
      <c r="B160" s="104"/>
      <c r="C160" s="112" t="s">
        <v>142</v>
      </c>
      <c r="D160" s="106" t="s">
        <v>65</v>
      </c>
      <c r="E160" s="69"/>
      <c r="F160" s="46" t="s">
        <v>15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1">
        <v>0</v>
      </c>
      <c r="M160" s="11">
        <v>135</v>
      </c>
      <c r="N160" s="11">
        <v>0</v>
      </c>
      <c r="O160" s="11">
        <f t="shared" si="4"/>
        <v>135</v>
      </c>
    </row>
    <row r="161" spans="1:17" ht="93" customHeight="1" x14ac:dyDescent="0.2">
      <c r="A161" s="107"/>
      <c r="B161" s="108"/>
      <c r="C161" s="113" t="s">
        <v>143</v>
      </c>
      <c r="D161" s="114" t="s">
        <v>65</v>
      </c>
      <c r="E161" s="88"/>
      <c r="F161" s="46" t="s">
        <v>15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1">
        <v>0</v>
      </c>
      <c r="M161" s="11">
        <v>0</v>
      </c>
      <c r="N161" s="11">
        <v>300</v>
      </c>
      <c r="O161" s="11">
        <f t="shared" si="4"/>
        <v>300</v>
      </c>
    </row>
    <row r="162" spans="1:17" ht="36.75" customHeight="1" x14ac:dyDescent="0.2">
      <c r="A162" s="241">
        <v>13</v>
      </c>
      <c r="B162" s="241"/>
      <c r="C162" s="241"/>
      <c r="D162" s="241"/>
      <c r="E162" s="241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</row>
    <row r="163" spans="1:17" ht="24.75" customHeight="1" x14ac:dyDescent="0.2">
      <c r="A163" s="246" t="s">
        <v>222</v>
      </c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</row>
    <row r="164" spans="1:17" ht="31.5" customHeight="1" x14ac:dyDescent="0.2">
      <c r="A164" s="7">
        <v>1</v>
      </c>
      <c r="B164" s="7">
        <v>2</v>
      </c>
      <c r="C164" s="7">
        <v>3</v>
      </c>
      <c r="D164" s="7">
        <v>4</v>
      </c>
      <c r="E164" s="7">
        <v>5</v>
      </c>
      <c r="F164" s="7">
        <v>6</v>
      </c>
      <c r="G164" s="7">
        <v>7</v>
      </c>
      <c r="H164" s="7">
        <v>8</v>
      </c>
      <c r="I164" s="7">
        <v>9</v>
      </c>
      <c r="J164" s="7">
        <v>10</v>
      </c>
      <c r="K164" s="7">
        <v>11</v>
      </c>
      <c r="L164" s="7">
        <v>12</v>
      </c>
      <c r="M164" s="7">
        <v>13</v>
      </c>
      <c r="N164" s="7">
        <v>14</v>
      </c>
      <c r="O164" s="7">
        <v>15</v>
      </c>
    </row>
    <row r="165" spans="1:17" ht="78" customHeight="1" x14ac:dyDescent="0.2">
      <c r="A165" s="98"/>
      <c r="B165" s="99"/>
      <c r="C165" s="111" t="s">
        <v>144</v>
      </c>
      <c r="D165" s="10" t="s">
        <v>65</v>
      </c>
      <c r="E165" s="19"/>
      <c r="F165" s="10" t="s">
        <v>15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1">
        <v>0</v>
      </c>
      <c r="M165" s="11">
        <v>0</v>
      </c>
      <c r="N165" s="11">
        <v>350</v>
      </c>
      <c r="O165" s="11">
        <f t="shared" si="4"/>
        <v>350</v>
      </c>
    </row>
    <row r="166" spans="1:17" ht="37.5" hidden="1" customHeight="1" x14ac:dyDescent="0.2">
      <c r="A166" s="98"/>
      <c r="B166" s="99"/>
      <c r="C166" s="111" t="s">
        <v>145</v>
      </c>
      <c r="D166" s="10" t="s">
        <v>65</v>
      </c>
      <c r="E166" s="19"/>
      <c r="F166" s="10" t="s">
        <v>74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1">
        <v>0</v>
      </c>
      <c r="M166" s="11">
        <v>0</v>
      </c>
      <c r="N166" s="11">
        <v>0</v>
      </c>
      <c r="O166" s="11">
        <f t="shared" si="4"/>
        <v>0</v>
      </c>
      <c r="Q166" s="1" t="s">
        <v>146</v>
      </c>
    </row>
    <row r="167" spans="1:17" ht="97.5" customHeight="1" x14ac:dyDescent="0.2">
      <c r="A167" s="102"/>
      <c r="B167" s="104"/>
      <c r="C167" s="92" t="s">
        <v>147</v>
      </c>
      <c r="D167" s="59" t="s">
        <v>65</v>
      </c>
      <c r="E167" s="69"/>
      <c r="F167" s="46" t="s">
        <v>15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1">
        <f>700-700</f>
        <v>0</v>
      </c>
      <c r="M167" s="11">
        <f>880</f>
        <v>880</v>
      </c>
      <c r="N167" s="11">
        <v>0</v>
      </c>
      <c r="O167" s="11">
        <f t="shared" si="4"/>
        <v>880</v>
      </c>
    </row>
    <row r="168" spans="1:17" ht="81" customHeight="1" x14ac:dyDescent="0.2">
      <c r="A168" s="102"/>
      <c r="B168" s="104"/>
      <c r="C168" s="84" t="s">
        <v>148</v>
      </c>
      <c r="D168" s="51" t="s">
        <v>65</v>
      </c>
      <c r="E168" s="69"/>
      <c r="F168" s="46" t="s">
        <v>15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1">
        <v>0</v>
      </c>
      <c r="M168" s="11">
        <v>1750</v>
      </c>
      <c r="N168" s="11">
        <v>2200</v>
      </c>
      <c r="O168" s="11">
        <f t="shared" si="4"/>
        <v>3950</v>
      </c>
    </row>
    <row r="169" spans="1:17" ht="78" customHeight="1" x14ac:dyDescent="0.2">
      <c r="A169" s="98"/>
      <c r="B169" s="99"/>
      <c r="C169" s="87" t="s">
        <v>149</v>
      </c>
      <c r="D169" s="10" t="s">
        <v>65</v>
      </c>
      <c r="E169" s="19"/>
      <c r="F169" s="10" t="s">
        <v>15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1">
        <v>500</v>
      </c>
      <c r="M169" s="11">
        <v>0</v>
      </c>
      <c r="N169" s="11">
        <v>0</v>
      </c>
      <c r="O169" s="11">
        <f t="shared" si="4"/>
        <v>500</v>
      </c>
    </row>
    <row r="170" spans="1:17" ht="66" customHeight="1" x14ac:dyDescent="0.2">
      <c r="A170" s="98"/>
      <c r="B170" s="99"/>
      <c r="C170" s="87" t="s">
        <v>150</v>
      </c>
      <c r="D170" s="10" t="s">
        <v>65</v>
      </c>
      <c r="E170" s="19"/>
      <c r="F170" s="10" t="s">
        <v>15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1">
        <v>0</v>
      </c>
      <c r="M170" s="11">
        <f>2000</f>
        <v>2000</v>
      </c>
      <c r="N170" s="11">
        <v>0</v>
      </c>
      <c r="O170" s="11">
        <f t="shared" si="4"/>
        <v>2000</v>
      </c>
    </row>
    <row r="171" spans="1:17" ht="70.5" customHeight="1" x14ac:dyDescent="0.2">
      <c r="A171" s="98"/>
      <c r="B171" s="99"/>
      <c r="C171" s="87" t="s">
        <v>151</v>
      </c>
      <c r="D171" s="10" t="s">
        <v>65</v>
      </c>
      <c r="E171" s="19"/>
      <c r="F171" s="10" t="s">
        <v>15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1">
        <v>20000</v>
      </c>
      <c r="M171" s="11">
        <f>22000+28000</f>
        <v>50000</v>
      </c>
      <c r="N171" s="11">
        <v>24200</v>
      </c>
      <c r="O171" s="11">
        <f t="shared" si="4"/>
        <v>94200</v>
      </c>
    </row>
    <row r="172" spans="1:17" ht="82.5" customHeight="1" x14ac:dyDescent="0.2">
      <c r="A172" s="98"/>
      <c r="B172" s="99"/>
      <c r="C172" s="87" t="s">
        <v>152</v>
      </c>
      <c r="D172" s="10" t="s">
        <v>65</v>
      </c>
      <c r="E172" s="19"/>
      <c r="F172" s="10" t="s">
        <v>15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1">
        <f>4000+349.7-4349.7</f>
        <v>0</v>
      </c>
      <c r="M172" s="11">
        <f>0+4349.7</f>
        <v>4349.7</v>
      </c>
      <c r="N172" s="11">
        <v>2100</v>
      </c>
      <c r="O172" s="11">
        <f>SUM(G172:N172)</f>
        <v>6449.7</v>
      </c>
      <c r="P172" s="1">
        <f>10799.4-4349.7</f>
        <v>6449.7</v>
      </c>
    </row>
    <row r="173" spans="1:17" ht="82.5" customHeight="1" x14ac:dyDescent="0.2">
      <c r="A173" s="98"/>
      <c r="B173" s="99"/>
      <c r="C173" s="87" t="s">
        <v>153</v>
      </c>
      <c r="D173" s="10" t="s">
        <v>65</v>
      </c>
      <c r="E173" s="19"/>
      <c r="F173" s="10" t="s">
        <v>15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1">
        <v>4500</v>
      </c>
      <c r="M173" s="11">
        <f>5000-5000</f>
        <v>0</v>
      </c>
      <c r="N173" s="11">
        <v>5500</v>
      </c>
      <c r="O173" s="11">
        <f t="shared" ref="O173:O200" si="5">SUM(G173:N173)</f>
        <v>10000</v>
      </c>
      <c r="P173" s="1">
        <f>6449.7+4349.7</f>
        <v>10799.4</v>
      </c>
    </row>
    <row r="174" spans="1:17" ht="86.25" customHeight="1" x14ac:dyDescent="0.2">
      <c r="A174" s="98"/>
      <c r="B174" s="99"/>
      <c r="C174" s="87" t="s">
        <v>154</v>
      </c>
      <c r="D174" s="10" t="s">
        <v>65</v>
      </c>
      <c r="E174" s="19"/>
      <c r="F174" s="10" t="s">
        <v>15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1">
        <f>4000-349.7</f>
        <v>3650.3</v>
      </c>
      <c r="M174" s="11">
        <v>0</v>
      </c>
      <c r="N174" s="11">
        <v>0</v>
      </c>
      <c r="O174" s="11">
        <f t="shared" si="5"/>
        <v>3650.3</v>
      </c>
    </row>
    <row r="175" spans="1:17" ht="83.25" customHeight="1" x14ac:dyDescent="0.2">
      <c r="A175" s="100"/>
      <c r="B175" s="101"/>
      <c r="C175" s="90" t="s">
        <v>155</v>
      </c>
      <c r="D175" s="23" t="s">
        <v>65</v>
      </c>
      <c r="E175" s="67"/>
      <c r="F175" s="23" t="s">
        <v>15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1">
        <v>0</v>
      </c>
      <c r="M175" s="11">
        <f>2500</f>
        <v>2500</v>
      </c>
      <c r="N175" s="11">
        <v>0</v>
      </c>
      <c r="O175" s="11">
        <f t="shared" si="5"/>
        <v>2500</v>
      </c>
    </row>
    <row r="176" spans="1:17" ht="20.25" customHeight="1" x14ac:dyDescent="0.2">
      <c r="A176" s="241">
        <v>14</v>
      </c>
      <c r="B176" s="241"/>
      <c r="C176" s="241"/>
      <c r="D176" s="241"/>
      <c r="E176" s="241"/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</row>
    <row r="177" spans="1:16" ht="19.5" customHeight="1" x14ac:dyDescent="0.2">
      <c r="A177" s="246" t="s">
        <v>222</v>
      </c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</row>
    <row r="178" spans="1:16" ht="27.75" customHeight="1" x14ac:dyDescent="0.2">
      <c r="A178" s="7">
        <v>1</v>
      </c>
      <c r="B178" s="7">
        <v>2</v>
      </c>
      <c r="C178" s="7">
        <v>3</v>
      </c>
      <c r="D178" s="7">
        <v>4</v>
      </c>
      <c r="E178" s="7">
        <v>5</v>
      </c>
      <c r="F178" s="7">
        <v>6</v>
      </c>
      <c r="G178" s="7">
        <v>7</v>
      </c>
      <c r="H178" s="7">
        <v>8</v>
      </c>
      <c r="I178" s="7">
        <v>9</v>
      </c>
      <c r="J178" s="7">
        <v>10</v>
      </c>
      <c r="K178" s="7">
        <v>11</v>
      </c>
      <c r="L178" s="7">
        <v>12</v>
      </c>
      <c r="M178" s="7">
        <v>13</v>
      </c>
      <c r="N178" s="7">
        <v>14</v>
      </c>
      <c r="O178" s="7">
        <v>15</v>
      </c>
    </row>
    <row r="179" spans="1:16" ht="71.25" customHeight="1" x14ac:dyDescent="0.2">
      <c r="A179" s="98"/>
      <c r="B179" s="99"/>
      <c r="C179" s="87" t="s">
        <v>227</v>
      </c>
      <c r="D179" s="10" t="s">
        <v>65</v>
      </c>
      <c r="E179" s="19"/>
      <c r="F179" s="10" t="s">
        <v>15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1">
        <v>2500</v>
      </c>
      <c r="M179" s="11">
        <v>2750</v>
      </c>
      <c r="N179" s="11">
        <v>2900</v>
      </c>
      <c r="O179" s="11">
        <f t="shared" si="5"/>
        <v>8150</v>
      </c>
    </row>
    <row r="180" spans="1:16" ht="69.75" customHeight="1" x14ac:dyDescent="0.2">
      <c r="A180" s="110"/>
      <c r="B180" s="104"/>
      <c r="C180" s="92" t="s">
        <v>157</v>
      </c>
      <c r="D180" s="59" t="s">
        <v>65</v>
      </c>
      <c r="E180" s="69"/>
      <c r="F180" s="46" t="s">
        <v>15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1">
        <v>900</v>
      </c>
      <c r="M180" s="11">
        <v>0</v>
      </c>
      <c r="N180" s="11">
        <v>1100</v>
      </c>
      <c r="O180" s="11">
        <f t="shared" si="5"/>
        <v>2000</v>
      </c>
    </row>
    <row r="181" spans="1:16" ht="68.25" customHeight="1" x14ac:dyDescent="0.2">
      <c r="A181" s="110"/>
      <c r="B181" s="104"/>
      <c r="C181" s="84" t="s">
        <v>158</v>
      </c>
      <c r="D181" s="51" t="s">
        <v>65</v>
      </c>
      <c r="E181" s="69"/>
      <c r="F181" s="46" t="s">
        <v>15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1">
        <v>300</v>
      </c>
      <c r="M181" s="11">
        <f>330-330</f>
        <v>0</v>
      </c>
      <c r="N181" s="11">
        <v>370</v>
      </c>
      <c r="O181" s="11">
        <f t="shared" si="5"/>
        <v>670</v>
      </c>
    </row>
    <row r="182" spans="1:16" ht="69.75" customHeight="1" x14ac:dyDescent="0.2">
      <c r="A182" s="98"/>
      <c r="B182" s="99"/>
      <c r="C182" s="87" t="s">
        <v>159</v>
      </c>
      <c r="D182" s="10" t="s">
        <v>65</v>
      </c>
      <c r="E182" s="19"/>
      <c r="F182" s="10" t="s">
        <v>15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1">
        <v>0</v>
      </c>
      <c r="M182" s="11">
        <v>0</v>
      </c>
      <c r="N182" s="11">
        <v>4000</v>
      </c>
      <c r="O182" s="11">
        <f t="shared" si="5"/>
        <v>4000</v>
      </c>
      <c r="P182" s="1">
        <f>7000-2650.3</f>
        <v>4349.7</v>
      </c>
    </row>
    <row r="183" spans="1:16" ht="66" customHeight="1" x14ac:dyDescent="0.2">
      <c r="A183" s="98"/>
      <c r="B183" s="99"/>
      <c r="C183" s="87" t="s">
        <v>160</v>
      </c>
      <c r="D183" s="10" t="s">
        <v>65</v>
      </c>
      <c r="E183" s="19"/>
      <c r="F183" s="10" t="s">
        <v>15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1">
        <v>0</v>
      </c>
      <c r="M183" s="11">
        <f>7000-2000</f>
        <v>5000</v>
      </c>
      <c r="N183" s="11">
        <v>7700</v>
      </c>
      <c r="O183" s="11">
        <f>SUM(G183:N183)</f>
        <v>12700</v>
      </c>
      <c r="P183" s="1">
        <f>14700-10350.3</f>
        <v>4349.7000000000007</v>
      </c>
    </row>
    <row r="184" spans="1:16" ht="82.5" customHeight="1" x14ac:dyDescent="0.2">
      <c r="A184" s="98"/>
      <c r="B184" s="99"/>
      <c r="C184" s="87" t="s">
        <v>161</v>
      </c>
      <c r="D184" s="10" t="s">
        <v>65</v>
      </c>
      <c r="E184" s="19"/>
      <c r="F184" s="10" t="s">
        <v>15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1">
        <f>5000-2397</f>
        <v>2603</v>
      </c>
      <c r="M184" s="11">
        <f>5500</f>
        <v>5500</v>
      </c>
      <c r="N184" s="11">
        <v>0</v>
      </c>
      <c r="O184" s="11">
        <f t="shared" si="5"/>
        <v>8103</v>
      </c>
    </row>
    <row r="185" spans="1:16" ht="75" customHeight="1" x14ac:dyDescent="0.2">
      <c r="A185" s="98"/>
      <c r="B185" s="99"/>
      <c r="C185" s="17" t="s">
        <v>162</v>
      </c>
      <c r="D185" s="10" t="s">
        <v>65</v>
      </c>
      <c r="E185" s="19"/>
      <c r="F185" s="10" t="s">
        <v>15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1">
        <v>65000</v>
      </c>
      <c r="M185" s="11">
        <v>0</v>
      </c>
      <c r="N185" s="11">
        <v>0</v>
      </c>
      <c r="O185" s="11">
        <f t="shared" si="5"/>
        <v>65000</v>
      </c>
    </row>
    <row r="186" spans="1:16" ht="92.25" hidden="1" customHeight="1" x14ac:dyDescent="0.2">
      <c r="A186" s="98"/>
      <c r="B186" s="99"/>
      <c r="C186" s="87" t="s">
        <v>163</v>
      </c>
      <c r="D186" s="10" t="s">
        <v>65</v>
      </c>
      <c r="E186" s="19"/>
      <c r="F186" s="10" t="s">
        <v>74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1">
        <v>0</v>
      </c>
      <c r="M186" s="11">
        <v>0</v>
      </c>
      <c r="N186" s="11">
        <v>0</v>
      </c>
      <c r="O186" s="11">
        <f t="shared" si="5"/>
        <v>0</v>
      </c>
    </row>
    <row r="187" spans="1:16" ht="33.75" hidden="1" customHeight="1" x14ac:dyDescent="0.2">
      <c r="A187" s="98"/>
      <c r="B187" s="99"/>
      <c r="C187" s="87" t="s">
        <v>164</v>
      </c>
      <c r="D187" s="10" t="s">
        <v>65</v>
      </c>
      <c r="E187" s="19"/>
      <c r="F187" s="10" t="s">
        <v>74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1">
        <v>0</v>
      </c>
      <c r="M187" s="11">
        <v>0</v>
      </c>
      <c r="N187" s="11">
        <v>0</v>
      </c>
      <c r="O187" s="11">
        <f t="shared" si="5"/>
        <v>0</v>
      </c>
    </row>
    <row r="188" spans="1:16" ht="38.25" hidden="1" customHeight="1" x14ac:dyDescent="0.2">
      <c r="A188" s="98"/>
      <c r="B188" s="99"/>
      <c r="C188" s="87" t="s">
        <v>165</v>
      </c>
      <c r="D188" s="10" t="s">
        <v>65</v>
      </c>
      <c r="E188" s="19"/>
      <c r="F188" s="10" t="s">
        <v>74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1">
        <v>0</v>
      </c>
      <c r="M188" s="11">
        <v>0</v>
      </c>
      <c r="N188" s="11">
        <v>0</v>
      </c>
      <c r="O188" s="11">
        <f t="shared" si="5"/>
        <v>0</v>
      </c>
    </row>
    <row r="189" spans="1:16" ht="69.75" hidden="1" customHeight="1" x14ac:dyDescent="0.2">
      <c r="A189" s="98"/>
      <c r="B189" s="99"/>
      <c r="C189" s="87" t="s">
        <v>166</v>
      </c>
      <c r="D189" s="10" t="s">
        <v>65</v>
      </c>
      <c r="E189" s="19"/>
      <c r="F189" s="10" t="s">
        <v>74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1">
        <v>0</v>
      </c>
      <c r="M189" s="11">
        <v>0</v>
      </c>
      <c r="N189" s="11">
        <v>0</v>
      </c>
      <c r="O189" s="11">
        <f t="shared" si="5"/>
        <v>0</v>
      </c>
    </row>
    <row r="190" spans="1:16" ht="51" hidden="1" customHeight="1" x14ac:dyDescent="0.2">
      <c r="A190" s="98"/>
      <c r="B190" s="99"/>
      <c r="C190" s="87" t="s">
        <v>167</v>
      </c>
      <c r="D190" s="10" t="s">
        <v>65</v>
      </c>
      <c r="E190" s="19"/>
      <c r="F190" s="10" t="s">
        <v>74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1">
        <v>0</v>
      </c>
      <c r="M190" s="11">
        <v>0</v>
      </c>
      <c r="N190" s="11">
        <v>0</v>
      </c>
      <c r="O190" s="11">
        <f t="shared" si="5"/>
        <v>0</v>
      </c>
    </row>
    <row r="191" spans="1:16" ht="36" hidden="1" customHeight="1" x14ac:dyDescent="0.2">
      <c r="A191" s="98"/>
      <c r="B191" s="99"/>
      <c r="C191" s="87" t="s">
        <v>168</v>
      </c>
      <c r="D191" s="10" t="s">
        <v>65</v>
      </c>
      <c r="E191" s="19"/>
      <c r="F191" s="10" t="s">
        <v>74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1">
        <v>0</v>
      </c>
      <c r="M191" s="11">
        <v>0</v>
      </c>
      <c r="N191" s="11">
        <v>0</v>
      </c>
      <c r="O191" s="11">
        <f t="shared" si="5"/>
        <v>0</v>
      </c>
    </row>
    <row r="192" spans="1:16" ht="51" hidden="1" customHeight="1" x14ac:dyDescent="0.2">
      <c r="A192" s="98"/>
      <c r="B192" s="99"/>
      <c r="C192" s="87" t="s">
        <v>169</v>
      </c>
      <c r="D192" s="10" t="s">
        <v>65</v>
      </c>
      <c r="E192" s="19"/>
      <c r="F192" s="10" t="s">
        <v>74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1">
        <v>0</v>
      </c>
      <c r="M192" s="11">
        <v>0</v>
      </c>
      <c r="N192" s="11">
        <v>0</v>
      </c>
      <c r="O192" s="11">
        <f t="shared" si="5"/>
        <v>0</v>
      </c>
    </row>
    <row r="193" spans="1:16" ht="141" hidden="1" customHeight="1" x14ac:dyDescent="0.2">
      <c r="A193" s="98"/>
      <c r="B193" s="99"/>
      <c r="C193" s="87" t="s">
        <v>170</v>
      </c>
      <c r="D193" s="10" t="s">
        <v>65</v>
      </c>
      <c r="E193" s="19"/>
      <c r="F193" s="10" t="s">
        <v>74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1">
        <v>0</v>
      </c>
      <c r="M193" s="11">
        <v>0</v>
      </c>
      <c r="N193" s="11">
        <v>0</v>
      </c>
      <c r="O193" s="11">
        <f t="shared" si="5"/>
        <v>0</v>
      </c>
    </row>
    <row r="194" spans="1:16" ht="92.25" customHeight="1" x14ac:dyDescent="0.2">
      <c r="A194" s="98"/>
      <c r="B194" s="99"/>
      <c r="C194" s="87" t="s">
        <v>171</v>
      </c>
      <c r="D194" s="10" t="s">
        <v>65</v>
      </c>
      <c r="E194" s="19"/>
      <c r="F194" s="10" t="s">
        <v>15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1">
        <v>0</v>
      </c>
      <c r="M194" s="11">
        <f>7700-7700</f>
        <v>0</v>
      </c>
      <c r="N194" s="11">
        <v>0</v>
      </c>
      <c r="O194" s="11">
        <f t="shared" si="5"/>
        <v>0</v>
      </c>
    </row>
    <row r="195" spans="1:16" ht="96.75" customHeight="1" x14ac:dyDescent="0.2">
      <c r="A195" s="98"/>
      <c r="B195" s="99"/>
      <c r="C195" s="87" t="s">
        <v>172</v>
      </c>
      <c r="D195" s="10" t="s">
        <v>65</v>
      </c>
      <c r="E195" s="19"/>
      <c r="F195" s="10" t="s">
        <v>15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1">
        <v>0</v>
      </c>
      <c r="M195" s="11">
        <v>0</v>
      </c>
      <c r="N195" s="11">
        <v>8500</v>
      </c>
      <c r="O195" s="11">
        <f t="shared" si="5"/>
        <v>8500</v>
      </c>
    </row>
    <row r="196" spans="1:16" ht="135" customHeight="1" x14ac:dyDescent="0.2">
      <c r="A196" s="100"/>
      <c r="B196" s="101"/>
      <c r="C196" s="22" t="s">
        <v>228</v>
      </c>
      <c r="D196" s="23" t="s">
        <v>65</v>
      </c>
      <c r="E196" s="67"/>
      <c r="F196" s="23" t="s">
        <v>15</v>
      </c>
      <c r="G196" s="91">
        <v>0</v>
      </c>
      <c r="H196" s="18">
        <v>0</v>
      </c>
      <c r="I196" s="18">
        <v>0</v>
      </c>
      <c r="J196" s="18">
        <v>0</v>
      </c>
      <c r="K196" s="18">
        <v>0</v>
      </c>
      <c r="L196" s="11">
        <v>78600</v>
      </c>
      <c r="M196" s="11">
        <v>78400</v>
      </c>
      <c r="N196" s="11">
        <v>78500</v>
      </c>
      <c r="O196" s="11">
        <f>SUM(G196:N196)</f>
        <v>235500</v>
      </c>
    </row>
    <row r="197" spans="1:16" ht="20.25" customHeight="1" x14ac:dyDescent="0.2">
      <c r="A197" s="241">
        <v>15</v>
      </c>
      <c r="B197" s="241"/>
      <c r="C197" s="241"/>
      <c r="D197" s="241"/>
      <c r="E197" s="241"/>
      <c r="F197" s="241"/>
      <c r="G197" s="241"/>
      <c r="H197" s="241"/>
      <c r="I197" s="241"/>
      <c r="J197" s="241"/>
      <c r="K197" s="241"/>
      <c r="L197" s="241"/>
      <c r="M197" s="241"/>
      <c r="N197" s="241"/>
      <c r="O197" s="241"/>
    </row>
    <row r="198" spans="1:16" ht="14.25" customHeight="1" x14ac:dyDescent="0.2">
      <c r="A198" s="246" t="s">
        <v>222</v>
      </c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</row>
    <row r="199" spans="1:16" ht="36" customHeight="1" x14ac:dyDescent="0.2">
      <c r="A199" s="7">
        <v>1</v>
      </c>
      <c r="B199" s="7">
        <v>2</v>
      </c>
      <c r="C199" s="41">
        <v>3</v>
      </c>
      <c r="D199" s="7">
        <v>4</v>
      </c>
      <c r="E199" s="7">
        <v>5</v>
      </c>
      <c r="F199" s="7">
        <v>6</v>
      </c>
      <c r="G199" s="7">
        <v>7</v>
      </c>
      <c r="H199" s="7">
        <v>8</v>
      </c>
      <c r="I199" s="7">
        <v>9</v>
      </c>
      <c r="J199" s="7">
        <v>10</v>
      </c>
      <c r="K199" s="7">
        <v>11</v>
      </c>
      <c r="L199" s="7">
        <v>12</v>
      </c>
      <c r="M199" s="7">
        <v>13</v>
      </c>
      <c r="N199" s="7">
        <v>14</v>
      </c>
      <c r="O199" s="7">
        <v>15</v>
      </c>
    </row>
    <row r="200" spans="1:16" ht="70.5" customHeight="1" x14ac:dyDescent="0.2">
      <c r="A200" s="98"/>
      <c r="B200" s="99"/>
      <c r="C200" s="17" t="s">
        <v>174</v>
      </c>
      <c r="D200" s="10" t="s">
        <v>65</v>
      </c>
      <c r="E200" s="19"/>
      <c r="F200" s="10" t="s">
        <v>15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1">
        <v>46839</v>
      </c>
      <c r="M200" s="11">
        <v>52023</v>
      </c>
      <c r="N200" s="11">
        <v>100985</v>
      </c>
      <c r="O200" s="11">
        <f t="shared" si="5"/>
        <v>199847</v>
      </c>
      <c r="P200" s="1">
        <f>1659827410-700000</f>
        <v>1659127410</v>
      </c>
    </row>
    <row r="201" spans="1:16" ht="72.75" customHeight="1" x14ac:dyDescent="0.2">
      <c r="A201" s="98"/>
      <c r="B201" s="99"/>
      <c r="C201" s="115" t="s">
        <v>175</v>
      </c>
      <c r="D201" s="51" t="s">
        <v>65</v>
      </c>
      <c r="E201" s="69"/>
      <c r="F201" s="46" t="s">
        <v>15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1">
        <v>487872.01</v>
      </c>
      <c r="M201" s="11">
        <f>565781.7-700</f>
        <v>565081.69999999995</v>
      </c>
      <c r="N201" s="11">
        <v>606173.69999999995</v>
      </c>
      <c r="O201" s="11">
        <f>SUM(G201:N201)</f>
        <v>1659127.41</v>
      </c>
      <c r="P201" s="1">
        <f>565781700-700000</f>
        <v>565081700</v>
      </c>
    </row>
    <row r="202" spans="1:16" ht="72.75" customHeight="1" x14ac:dyDescent="0.2">
      <c r="A202" s="98"/>
      <c r="B202" s="116"/>
      <c r="C202" s="117" t="s">
        <v>176</v>
      </c>
      <c r="D202" s="46">
        <v>2021</v>
      </c>
      <c r="E202" s="29"/>
      <c r="F202" s="10" t="s">
        <v>15</v>
      </c>
      <c r="G202" s="18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241.5</v>
      </c>
      <c r="M202" s="11">
        <v>0</v>
      </c>
      <c r="N202" s="11">
        <v>0</v>
      </c>
      <c r="O202" s="11">
        <f t="shared" ref="O202:O210" si="6">SUM(G202:N202)</f>
        <v>241.5</v>
      </c>
    </row>
    <row r="203" spans="1:16" ht="73.5" customHeight="1" x14ac:dyDescent="0.2">
      <c r="A203" s="98"/>
      <c r="B203" s="116"/>
      <c r="C203" s="118" t="s">
        <v>177</v>
      </c>
      <c r="D203" s="46">
        <v>2021</v>
      </c>
      <c r="E203" s="29"/>
      <c r="F203" s="10" t="s">
        <v>15</v>
      </c>
      <c r="G203" s="18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f>0+400</f>
        <v>400</v>
      </c>
      <c r="M203" s="11">
        <v>0</v>
      </c>
      <c r="N203" s="11">
        <v>0</v>
      </c>
      <c r="O203" s="11">
        <f t="shared" si="6"/>
        <v>400</v>
      </c>
    </row>
    <row r="204" spans="1:16" ht="71.25" customHeight="1" x14ac:dyDescent="0.2">
      <c r="A204" s="98"/>
      <c r="B204" s="116"/>
      <c r="C204" s="118" t="s">
        <v>178</v>
      </c>
      <c r="D204" s="46">
        <v>2021</v>
      </c>
      <c r="E204" s="29"/>
      <c r="F204" s="10" t="s">
        <v>15</v>
      </c>
      <c r="G204" s="18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f>0+300</f>
        <v>300</v>
      </c>
      <c r="M204" s="11">
        <v>0</v>
      </c>
      <c r="N204" s="11">
        <v>0</v>
      </c>
      <c r="O204" s="11">
        <f t="shared" si="6"/>
        <v>300</v>
      </c>
    </row>
    <row r="205" spans="1:16" ht="70.5" customHeight="1" x14ac:dyDescent="0.2">
      <c r="A205" s="98"/>
      <c r="B205" s="116"/>
      <c r="C205" s="118" t="s">
        <v>179</v>
      </c>
      <c r="D205" s="46">
        <v>2021</v>
      </c>
      <c r="E205" s="29"/>
      <c r="F205" s="10" t="s">
        <v>15</v>
      </c>
      <c r="G205" s="18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2397</v>
      </c>
      <c r="M205" s="11">
        <v>0</v>
      </c>
      <c r="N205" s="11">
        <v>0</v>
      </c>
      <c r="O205" s="11">
        <f t="shared" si="6"/>
        <v>2397</v>
      </c>
    </row>
    <row r="206" spans="1:16" ht="72.75" customHeight="1" x14ac:dyDescent="0.2">
      <c r="A206" s="102"/>
      <c r="B206" s="104"/>
      <c r="C206" s="113" t="s">
        <v>180</v>
      </c>
      <c r="D206" s="119">
        <v>2022</v>
      </c>
      <c r="E206" s="36"/>
      <c r="F206" s="60" t="s">
        <v>15</v>
      </c>
      <c r="G206" s="18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2500</v>
      </c>
      <c r="N206" s="11">
        <v>0</v>
      </c>
      <c r="O206" s="11">
        <f t="shared" si="6"/>
        <v>2500</v>
      </c>
    </row>
    <row r="207" spans="1:16" ht="68.25" customHeight="1" x14ac:dyDescent="0.2">
      <c r="A207" s="102"/>
      <c r="B207" s="104"/>
      <c r="C207" s="113" t="s">
        <v>181</v>
      </c>
      <c r="D207" s="44">
        <v>2021</v>
      </c>
      <c r="E207" s="36"/>
      <c r="F207" s="46" t="s">
        <v>15</v>
      </c>
      <c r="G207" s="18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6400</v>
      </c>
      <c r="N207" s="11">
        <v>0</v>
      </c>
      <c r="O207" s="11">
        <f t="shared" si="6"/>
        <v>6400</v>
      </c>
    </row>
    <row r="208" spans="1:16" ht="70.5" customHeight="1" x14ac:dyDescent="0.2">
      <c r="A208" s="98"/>
      <c r="B208" s="116"/>
      <c r="C208" s="118" t="s">
        <v>182</v>
      </c>
      <c r="D208" s="46">
        <v>2021</v>
      </c>
      <c r="E208" s="29"/>
      <c r="F208" s="10" t="s">
        <v>15</v>
      </c>
      <c r="G208" s="18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2600</v>
      </c>
      <c r="N208" s="11">
        <v>0</v>
      </c>
      <c r="O208" s="11">
        <f t="shared" si="6"/>
        <v>2600</v>
      </c>
    </row>
    <row r="209" spans="1:16" ht="70.5" customHeight="1" x14ac:dyDescent="0.2">
      <c r="A209" s="98"/>
      <c r="B209" s="116"/>
      <c r="C209" s="118" t="s">
        <v>183</v>
      </c>
      <c r="D209" s="46">
        <v>2021</v>
      </c>
      <c r="E209" s="24"/>
      <c r="F209" s="10" t="s">
        <v>15</v>
      </c>
      <c r="G209" s="18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1500</v>
      </c>
      <c r="N209" s="11">
        <v>0</v>
      </c>
      <c r="O209" s="11">
        <f>SUM(G209:N209)</f>
        <v>1500</v>
      </c>
      <c r="P209" s="1">
        <f>241.5+400+300+2397</f>
        <v>3338.5</v>
      </c>
    </row>
    <row r="210" spans="1:16" ht="69.75" customHeight="1" x14ac:dyDescent="0.2">
      <c r="A210" s="98"/>
      <c r="B210" s="116"/>
      <c r="C210" s="118" t="s">
        <v>184</v>
      </c>
      <c r="D210" s="46">
        <v>2022</v>
      </c>
      <c r="E210" s="24"/>
      <c r="F210" s="10" t="s">
        <v>15</v>
      </c>
      <c r="G210" s="18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700</v>
      </c>
      <c r="N210" s="11">
        <v>0</v>
      </c>
      <c r="O210" s="11">
        <f t="shared" si="6"/>
        <v>700</v>
      </c>
      <c r="P210" s="1">
        <f>4349.7-700</f>
        <v>3649.7</v>
      </c>
    </row>
    <row r="211" spans="1:16" ht="55.5" customHeight="1" x14ac:dyDescent="0.2">
      <c r="A211" s="263" t="s">
        <v>81</v>
      </c>
      <c r="B211" s="264"/>
      <c r="C211" s="265"/>
      <c r="D211" s="266"/>
      <c r="E211" s="267"/>
      <c r="F211" s="120" t="s">
        <v>115</v>
      </c>
      <c r="G211" s="121">
        <f>G91+G92+G93+G94+G95+G96+G97+G98+G102+G103+G104+G105+G106+G107+G108+G109+G110+G114+G115+G117+G116+G120</f>
        <v>138423.32</v>
      </c>
      <c r="H211" s="121">
        <f>H91+H92+H93+H94+H95+H96+H97+H98+H102+H103+H104+H105+H106+H107+H108+H109+H110+H114+H115+H117+H116+H120</f>
        <v>204758.1</v>
      </c>
      <c r="I211" s="121">
        <f>I91+I92+I93+I94+I95+I96+I97+I98+I102+I103+I104+I105+I106+I107+I108+I109+I110+I114+I115+I117+I116+I120</f>
        <v>220709</v>
      </c>
      <c r="J211" s="121">
        <f>J91+J92+J93+J94+J95+J96+J97+J98+J102+J103+J104+J105+J106+J107+J108+J109+J110+J114+J115+J117+J116+J120</f>
        <v>313192.90000000002</v>
      </c>
      <c r="K211" s="121">
        <v>421613.6</v>
      </c>
      <c r="L211" s="121">
        <f>L91+L92+L93+L94+L95+L96+L97+L98+L102+L103+L104+L105+L106+L107+L108+L109+L110+L114+L115+L116+L117+L118+L119+L120+L121+L122+L126+L127+L128+L129+L130+L131+L132+L133+L134+L135+L136+L140+L141+L142+L143+L144+L145+L146+L147+L148+L149+L153+L154+L155+L156+L157+L158+L159+L160+L161+L165+L166+L167+L168+L169+L170+L171+L172+L173+L174+L175+L179+L180+L181+L182+L183+L184+L185+L186+L187+L188+L189+L190+L191+L192+L193+L194+L195+L196+L200+L201+L205+L203+L204+L202</f>
        <v>1308589.8</v>
      </c>
      <c r="M211" s="121">
        <f>M91+M92+M93+M94+M95+M96+M97+M98+M102+M103+M104+M105+M106+M107+M108+M109+M110+M114+M115+M116+M117+M118+M119+M120+M121+M122+M126+M127+M128+M129+M130+M131+M132+M133+M134+M135+M136+M140+M141+M142+M143+M144+M145+M146+M147+M148+M149+M153+M154+M155+M156+M157+M158+M159+M160+M161+M165+M166+M167+M168+M169+M170+M171+M172+M173+M174+M175+M179+M180+M181+M182+M183+M184+M185+M186+M187+M188+M189+M190+M191+M192+M193+M194+M195+M196+M200+M201++M206+M207+M208+M210+M209</f>
        <v>1406025</v>
      </c>
      <c r="N211" s="121">
        <f>N91+N92+N93+N94+N95+N96+N97+N98+N102+N103+N104+N105+N106+N107+N108+N109+N110+N114+N115+N116+N117+N118+N119+N120+N121+N122+N126+N127+N128+N129+N130+N131+N132+N133+N134+N135+N136+N140+N141+N142+N143+N144+N145+N146+N147+N148+N149+N153+N154+N155+N156+N157+N158+N159+N160+N161+N165+N166+N167+N168+N169+N170+N171+N172+N173+N174+N175+N179+N180+N181+N182+N183+N184+N185+N186+N187+N188+N189+N190+N191+N192+N193+N194+N195+N196+N200+N201++N206+N207+N208+N210+N209</f>
        <v>1203878.7</v>
      </c>
      <c r="O211" s="122">
        <f>O91+O92+O93+O94+O95+O96+O97+O98+O102+O103+O104+O105+O106+O107+O108+O109+O110+O114+O115+O116+O117+O118+O119+O120+O121+O122+O126+O127+O128+O129+O130+O131+O132+O133+O134+O135+O136+O140+O141+O142+O143+O144+O145+O146+O147+O148+O149+O153+O154+O155+O156+O157+O158+O159+O160+O161+O165+O166+O167+O168+O169+O170+O171+O172+O173+O174+O175+O179+O180+O181+O182+O183+O184+O185+O186+O187+O188+O189+O190+O191+O192+O193+O194+O195+O196+O200+O201+O202+O203+O204+O205+O206+O207+O208+O210+O209</f>
        <v>5217190.42</v>
      </c>
      <c r="P211" s="1">
        <f>5217190.42-5213851.92</f>
        <v>3338.5</v>
      </c>
    </row>
    <row r="212" spans="1:16" ht="20.25" customHeight="1" x14ac:dyDescent="0.2">
      <c r="A212" s="241">
        <v>16</v>
      </c>
      <c r="B212" s="241"/>
      <c r="C212" s="241"/>
      <c r="D212" s="241"/>
      <c r="E212" s="241"/>
      <c r="F212" s="241"/>
      <c r="G212" s="241"/>
      <c r="H212" s="241"/>
      <c r="I212" s="241"/>
      <c r="J212" s="241"/>
      <c r="K212" s="241"/>
      <c r="L212" s="241"/>
      <c r="M212" s="241"/>
      <c r="N212" s="241"/>
      <c r="O212" s="241"/>
    </row>
    <row r="213" spans="1:16" ht="16.5" customHeight="1" x14ac:dyDescent="0.2">
      <c r="A213" s="246" t="s">
        <v>222</v>
      </c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</row>
    <row r="214" spans="1:16" ht="29.25" customHeight="1" x14ac:dyDescent="0.2">
      <c r="A214" s="40">
        <v>1</v>
      </c>
      <c r="B214" s="40">
        <v>2</v>
      </c>
      <c r="C214" s="62">
        <v>3</v>
      </c>
      <c r="D214" s="62">
        <v>4</v>
      </c>
      <c r="E214" s="40">
        <v>5</v>
      </c>
      <c r="F214" s="27">
        <v>6</v>
      </c>
      <c r="G214" s="7">
        <v>7</v>
      </c>
      <c r="H214" s="7">
        <v>8</v>
      </c>
      <c r="I214" s="7">
        <v>9</v>
      </c>
      <c r="J214" s="7">
        <v>10</v>
      </c>
      <c r="K214" s="7">
        <v>11</v>
      </c>
      <c r="L214" s="7">
        <v>12</v>
      </c>
      <c r="M214" s="7">
        <v>13</v>
      </c>
      <c r="N214" s="7">
        <v>14</v>
      </c>
      <c r="O214" s="7">
        <v>15</v>
      </c>
    </row>
    <row r="215" spans="1:16" ht="69" customHeight="1" x14ac:dyDescent="0.2">
      <c r="A215" s="123">
        <v>3</v>
      </c>
      <c r="B215" s="268" t="s">
        <v>229</v>
      </c>
      <c r="C215" s="124" t="s">
        <v>186</v>
      </c>
      <c r="D215" s="125" t="s">
        <v>46</v>
      </c>
      <c r="E215" s="269" t="s">
        <v>187</v>
      </c>
      <c r="F215" s="46" t="s">
        <v>15</v>
      </c>
      <c r="G215" s="11">
        <v>0</v>
      </c>
      <c r="H215" s="11">
        <v>0</v>
      </c>
      <c r="I215" s="11">
        <v>0</v>
      </c>
      <c r="J215" s="11">
        <v>4059.9</v>
      </c>
      <c r="K215" s="11">
        <v>20246.5</v>
      </c>
      <c r="L215" s="11">
        <v>48490</v>
      </c>
      <c r="M215" s="11">
        <v>51250</v>
      </c>
      <c r="N215" s="11">
        <v>53650</v>
      </c>
      <c r="O215" s="11">
        <f>SUM(G215:N215)</f>
        <v>177696.4</v>
      </c>
    </row>
    <row r="216" spans="1:16" ht="44.25" hidden="1" customHeight="1" x14ac:dyDescent="0.2">
      <c r="A216" s="126"/>
      <c r="B216" s="259"/>
      <c r="C216" s="127" t="s">
        <v>188</v>
      </c>
      <c r="D216" s="51" t="s">
        <v>65</v>
      </c>
      <c r="E216" s="260"/>
      <c r="F216" s="128" t="s">
        <v>74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/>
      <c r="N216" s="11"/>
      <c r="O216" s="11">
        <f t="shared" ref="O216:O225" si="7">SUM(G216:N216)</f>
        <v>0</v>
      </c>
    </row>
    <row r="217" spans="1:16" ht="44.25" hidden="1" customHeight="1" x14ac:dyDescent="0.2">
      <c r="A217" s="126"/>
      <c r="B217" s="259"/>
      <c r="C217" s="129" t="s">
        <v>189</v>
      </c>
      <c r="D217" s="51" t="s">
        <v>65</v>
      </c>
      <c r="E217" s="260"/>
      <c r="F217" s="128" t="s">
        <v>74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/>
      <c r="N217" s="11"/>
      <c r="O217" s="11">
        <f t="shared" si="7"/>
        <v>0</v>
      </c>
    </row>
    <row r="218" spans="1:16" ht="93.75" customHeight="1" x14ac:dyDescent="0.2">
      <c r="A218" s="130"/>
      <c r="B218" s="259"/>
      <c r="C218" s="131" t="s">
        <v>190</v>
      </c>
      <c r="D218" s="44" t="s">
        <v>46</v>
      </c>
      <c r="E218" s="260"/>
      <c r="F218" s="46" t="s">
        <v>15</v>
      </c>
      <c r="G218" s="18">
        <v>0</v>
      </c>
      <c r="H218" s="18">
        <v>0</v>
      </c>
      <c r="I218" s="18">
        <v>0</v>
      </c>
      <c r="J218" s="18">
        <v>519.4</v>
      </c>
      <c r="K218" s="18">
        <v>1000</v>
      </c>
      <c r="L218" s="18">
        <v>1000</v>
      </c>
      <c r="M218" s="18">
        <v>1070</v>
      </c>
      <c r="N218" s="18">
        <v>1070</v>
      </c>
      <c r="O218" s="11">
        <f t="shared" si="7"/>
        <v>4659.3999999999996</v>
      </c>
    </row>
    <row r="219" spans="1:16" ht="94.5" customHeight="1" x14ac:dyDescent="0.2">
      <c r="A219" s="130"/>
      <c r="B219" s="259"/>
      <c r="C219" s="132" t="s">
        <v>191</v>
      </c>
      <c r="D219" s="59" t="s">
        <v>62</v>
      </c>
      <c r="E219" s="69" t="s">
        <v>230</v>
      </c>
      <c r="F219" s="60" t="s">
        <v>15</v>
      </c>
      <c r="G219" s="91">
        <v>0</v>
      </c>
      <c r="H219" s="91">
        <v>0</v>
      </c>
      <c r="I219" s="91">
        <v>0</v>
      </c>
      <c r="J219" s="91">
        <v>972</v>
      </c>
      <c r="K219" s="18">
        <v>3900</v>
      </c>
      <c r="L219" s="18">
        <v>0</v>
      </c>
      <c r="M219" s="18">
        <v>0</v>
      </c>
      <c r="N219" s="18">
        <v>0</v>
      </c>
      <c r="O219" s="11">
        <f t="shared" si="7"/>
        <v>4872</v>
      </c>
    </row>
    <row r="220" spans="1:16" ht="66.75" customHeight="1" x14ac:dyDescent="0.2">
      <c r="A220" s="133"/>
      <c r="B220" s="134"/>
      <c r="C220" s="135" t="s">
        <v>193</v>
      </c>
      <c r="D220" s="106">
        <v>2020</v>
      </c>
      <c r="E220" s="134"/>
      <c r="F220" s="46" t="s">
        <v>15</v>
      </c>
      <c r="G220" s="18">
        <v>0</v>
      </c>
      <c r="H220" s="18">
        <v>0</v>
      </c>
      <c r="I220" s="18">
        <v>0</v>
      </c>
      <c r="J220" s="18">
        <v>0</v>
      </c>
      <c r="K220" s="18">
        <v>900</v>
      </c>
      <c r="L220" s="18">
        <v>0</v>
      </c>
      <c r="M220" s="18">
        <v>0</v>
      </c>
      <c r="N220" s="18">
        <v>0</v>
      </c>
      <c r="O220" s="11">
        <f>SUM(G220:N220)</f>
        <v>900</v>
      </c>
    </row>
    <row r="221" spans="1:16" ht="72" customHeight="1" x14ac:dyDescent="0.2">
      <c r="A221" s="133"/>
      <c r="B221" s="134"/>
      <c r="C221" s="131" t="s">
        <v>194</v>
      </c>
      <c r="D221" s="114" t="s">
        <v>100</v>
      </c>
      <c r="E221" s="134"/>
      <c r="F221" s="46" t="s">
        <v>15</v>
      </c>
      <c r="G221" s="18">
        <v>0</v>
      </c>
      <c r="H221" s="18">
        <v>0</v>
      </c>
      <c r="I221" s="18">
        <v>0</v>
      </c>
      <c r="J221" s="18">
        <v>0</v>
      </c>
      <c r="K221" s="18">
        <v>350</v>
      </c>
      <c r="L221" s="18">
        <v>370</v>
      </c>
      <c r="M221" s="18">
        <v>0</v>
      </c>
      <c r="N221" s="18">
        <v>0</v>
      </c>
      <c r="O221" s="11">
        <f>SUM(G221:N221)</f>
        <v>720</v>
      </c>
    </row>
    <row r="222" spans="1:16" ht="77.25" customHeight="1" x14ac:dyDescent="0.2">
      <c r="A222" s="133"/>
      <c r="B222" s="134"/>
      <c r="C222" s="81" t="s">
        <v>195</v>
      </c>
      <c r="D222" s="59" t="s">
        <v>100</v>
      </c>
      <c r="E222" s="134"/>
      <c r="F222" s="60" t="s">
        <v>15</v>
      </c>
      <c r="G222" s="91">
        <v>0</v>
      </c>
      <c r="H222" s="18">
        <v>0</v>
      </c>
      <c r="I222" s="18">
        <v>0</v>
      </c>
      <c r="J222" s="18">
        <v>0</v>
      </c>
      <c r="K222" s="18">
        <v>1000</v>
      </c>
      <c r="L222" s="18">
        <v>3000</v>
      </c>
      <c r="M222" s="18">
        <v>3000</v>
      </c>
      <c r="N222" s="18">
        <v>3000</v>
      </c>
      <c r="O222" s="11">
        <f>SUM(G222:N222)</f>
        <v>10000</v>
      </c>
    </row>
    <row r="223" spans="1:16" ht="71.25" customHeight="1" x14ac:dyDescent="0.2">
      <c r="A223" s="130"/>
      <c r="B223" s="30"/>
      <c r="C223" s="82" t="s">
        <v>196</v>
      </c>
      <c r="D223" s="51">
        <v>2020</v>
      </c>
      <c r="E223" s="36"/>
      <c r="F223" s="46" t="s">
        <v>15</v>
      </c>
      <c r="G223" s="18">
        <v>0</v>
      </c>
      <c r="H223" s="18">
        <v>0</v>
      </c>
      <c r="I223" s="18">
        <v>0</v>
      </c>
      <c r="J223" s="18">
        <v>0</v>
      </c>
      <c r="K223" s="18">
        <v>2450</v>
      </c>
      <c r="L223" s="18">
        <v>0</v>
      </c>
      <c r="M223" s="18">
        <v>0</v>
      </c>
      <c r="N223" s="18">
        <v>0</v>
      </c>
      <c r="O223" s="11">
        <f t="shared" si="7"/>
        <v>2450</v>
      </c>
    </row>
    <row r="224" spans="1:16" ht="89.25" customHeight="1" x14ac:dyDescent="0.2">
      <c r="A224" s="130"/>
      <c r="B224" s="30"/>
      <c r="C224" s="82" t="s">
        <v>197</v>
      </c>
      <c r="D224" s="51">
        <v>2020</v>
      </c>
      <c r="E224" s="36"/>
      <c r="F224" s="46" t="s">
        <v>15</v>
      </c>
      <c r="G224" s="18">
        <v>0</v>
      </c>
      <c r="H224" s="18">
        <v>0</v>
      </c>
      <c r="I224" s="18">
        <v>0</v>
      </c>
      <c r="J224" s="18">
        <v>0</v>
      </c>
      <c r="K224" s="18">
        <v>4500</v>
      </c>
      <c r="L224" s="18">
        <v>0</v>
      </c>
      <c r="M224" s="18">
        <v>0</v>
      </c>
      <c r="N224" s="18">
        <v>0</v>
      </c>
      <c r="O224" s="11">
        <f t="shared" si="7"/>
        <v>4500</v>
      </c>
    </row>
    <row r="225" spans="1:20" ht="83.25" customHeight="1" x14ac:dyDescent="0.2">
      <c r="A225" s="130"/>
      <c r="B225" s="30"/>
      <c r="C225" s="81" t="s">
        <v>198</v>
      </c>
      <c r="D225" s="59" t="s">
        <v>100</v>
      </c>
      <c r="E225" s="36"/>
      <c r="F225" s="46" t="s">
        <v>15</v>
      </c>
      <c r="G225" s="18">
        <v>0</v>
      </c>
      <c r="H225" s="18">
        <v>0</v>
      </c>
      <c r="I225" s="18">
        <v>0</v>
      </c>
      <c r="J225" s="18">
        <v>0</v>
      </c>
      <c r="K225" s="18">
        <v>5160</v>
      </c>
      <c r="L225" s="18">
        <v>5000</v>
      </c>
      <c r="M225" s="18">
        <v>0</v>
      </c>
      <c r="N225" s="18">
        <v>0</v>
      </c>
      <c r="O225" s="11">
        <f t="shared" si="7"/>
        <v>10160</v>
      </c>
    </row>
    <row r="226" spans="1:20" ht="112.5" customHeight="1" x14ac:dyDescent="0.2">
      <c r="A226" s="136"/>
      <c r="B226" s="32"/>
      <c r="C226" s="132" t="s">
        <v>199</v>
      </c>
      <c r="D226" s="137" t="s">
        <v>65</v>
      </c>
      <c r="E226" s="57"/>
      <c r="F226" s="60" t="s">
        <v>15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3150</v>
      </c>
      <c r="M226" s="18">
        <v>3125</v>
      </c>
      <c r="N226" s="18">
        <v>3125</v>
      </c>
      <c r="O226" s="11">
        <f>SUM(G226:N226)</f>
        <v>9400</v>
      </c>
    </row>
    <row r="227" spans="1:20" ht="15" customHeight="1" x14ac:dyDescent="0.2">
      <c r="A227" s="241">
        <v>17</v>
      </c>
      <c r="B227" s="241"/>
      <c r="C227" s="241"/>
      <c r="D227" s="241"/>
      <c r="E227" s="241"/>
      <c r="F227" s="241"/>
      <c r="G227" s="241"/>
      <c r="H227" s="241"/>
      <c r="I227" s="241"/>
      <c r="J227" s="241"/>
      <c r="K227" s="241"/>
      <c r="L227" s="241"/>
      <c r="M227" s="241"/>
      <c r="N227" s="241"/>
      <c r="O227" s="241"/>
    </row>
    <row r="228" spans="1:20" ht="17.25" customHeight="1" x14ac:dyDescent="0.2">
      <c r="A228" s="246" t="s">
        <v>222</v>
      </c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</row>
    <row r="229" spans="1:20" ht="18.75" customHeight="1" x14ac:dyDescent="0.2">
      <c r="A229" s="41">
        <v>1</v>
      </c>
      <c r="B229" s="41">
        <v>2</v>
      </c>
      <c r="C229" s="7">
        <v>3</v>
      </c>
      <c r="D229" s="7">
        <v>4</v>
      </c>
      <c r="E229" s="41">
        <v>5</v>
      </c>
      <c r="F229" s="7">
        <v>6</v>
      </c>
      <c r="G229" s="7">
        <v>7</v>
      </c>
      <c r="H229" s="7">
        <v>8</v>
      </c>
      <c r="I229" s="7">
        <v>9</v>
      </c>
      <c r="J229" s="7">
        <v>10</v>
      </c>
      <c r="K229" s="7">
        <v>11</v>
      </c>
      <c r="L229" s="7">
        <v>12</v>
      </c>
      <c r="M229" s="7">
        <v>13</v>
      </c>
      <c r="N229" s="7">
        <v>14</v>
      </c>
      <c r="O229" s="7">
        <v>15</v>
      </c>
    </row>
    <row r="230" spans="1:20" ht="88.5" customHeight="1" x14ac:dyDescent="0.2">
      <c r="A230" s="138"/>
      <c r="B230" s="139"/>
      <c r="C230" s="132" t="s">
        <v>201</v>
      </c>
      <c r="D230" s="137" t="s">
        <v>65</v>
      </c>
      <c r="E230" s="140"/>
      <c r="F230" s="46" t="s">
        <v>15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f>5350-5350</f>
        <v>0</v>
      </c>
      <c r="M230" s="18">
        <f>5350-5350</f>
        <v>0</v>
      </c>
      <c r="N230" s="18">
        <f>5350-5350</f>
        <v>0</v>
      </c>
      <c r="O230" s="11">
        <f>SUM(G230:N230)</f>
        <v>0</v>
      </c>
    </row>
    <row r="231" spans="1:20" ht="81" customHeight="1" x14ac:dyDescent="0.2">
      <c r="A231" s="141"/>
      <c r="B231" s="142"/>
      <c r="C231" s="82" t="s">
        <v>202</v>
      </c>
      <c r="D231" s="51" t="s">
        <v>65</v>
      </c>
      <c r="E231" s="88"/>
      <c r="F231" s="46" t="s">
        <v>15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6500</v>
      </c>
      <c r="M231" s="18">
        <v>750</v>
      </c>
      <c r="N231" s="18">
        <v>750</v>
      </c>
      <c r="O231" s="11">
        <f>SUM(G231:N231)</f>
        <v>8000</v>
      </c>
    </row>
    <row r="232" spans="1:20" ht="70.5" customHeight="1" x14ac:dyDescent="0.2">
      <c r="A232" s="273" t="s">
        <v>81</v>
      </c>
      <c r="B232" s="274"/>
      <c r="C232" s="150"/>
      <c r="D232" s="151"/>
      <c r="E232" s="152"/>
      <c r="F232" s="153" t="s">
        <v>15</v>
      </c>
      <c r="G232" s="122">
        <f>G215+G218+G219+G220+G221+G222+G223+G224+G225+G226+G230+G231</f>
        <v>0</v>
      </c>
      <c r="H232" s="122">
        <f t="shared" ref="H232:O232" si="8">H215+H218+H219+H220+H221+H222+H223+H224+H225+H226+H230+H231</f>
        <v>0</v>
      </c>
      <c r="I232" s="122">
        <f t="shared" si="8"/>
        <v>0</v>
      </c>
      <c r="J232" s="122">
        <f t="shared" si="8"/>
        <v>5551.3</v>
      </c>
      <c r="K232" s="122">
        <f t="shared" si="8"/>
        <v>39506.5</v>
      </c>
      <c r="L232" s="122">
        <f>L215+L218+L219+L220+L221+L222+L223+L224+L225+L226+L230+L231</f>
        <v>67510</v>
      </c>
      <c r="M232" s="122">
        <f t="shared" si="8"/>
        <v>59195</v>
      </c>
      <c r="N232" s="122">
        <f t="shared" si="8"/>
        <v>61595</v>
      </c>
      <c r="O232" s="122">
        <f t="shared" si="8"/>
        <v>233357.8</v>
      </c>
      <c r="Q232" s="12"/>
      <c r="R232" s="12"/>
      <c r="S232" s="12"/>
      <c r="T232" s="12"/>
    </row>
    <row r="233" spans="1:20" ht="100.5" customHeight="1" x14ac:dyDescent="0.2">
      <c r="A233" s="154">
        <v>4</v>
      </c>
      <c r="B233" s="155" t="s">
        <v>204</v>
      </c>
      <c r="C233" s="92" t="s">
        <v>205</v>
      </c>
      <c r="D233" s="23">
        <v>2020</v>
      </c>
      <c r="E233" s="156" t="s">
        <v>206</v>
      </c>
      <c r="F233" s="23" t="s">
        <v>15</v>
      </c>
      <c r="G233" s="91">
        <v>0</v>
      </c>
      <c r="H233" s="18">
        <v>0</v>
      </c>
      <c r="I233" s="18">
        <v>0</v>
      </c>
      <c r="J233" s="18">
        <v>0</v>
      </c>
      <c r="K233" s="18">
        <v>167.43</v>
      </c>
      <c r="L233" s="18">
        <v>0</v>
      </c>
      <c r="M233" s="18">
        <v>0</v>
      </c>
      <c r="N233" s="18">
        <v>0</v>
      </c>
      <c r="O233" s="11">
        <f>SUM(G233:N233)</f>
        <v>167.43</v>
      </c>
      <c r="Q233" s="12"/>
      <c r="R233" s="12"/>
      <c r="S233" s="12"/>
      <c r="T233" s="12"/>
    </row>
    <row r="234" spans="1:20" ht="114.75" customHeight="1" x14ac:dyDescent="0.2">
      <c r="A234" s="157"/>
      <c r="B234" s="30"/>
      <c r="C234" s="82" t="s">
        <v>207</v>
      </c>
      <c r="D234" s="10" t="s">
        <v>20</v>
      </c>
      <c r="E234" s="158" t="s">
        <v>208</v>
      </c>
      <c r="F234" s="10" t="s">
        <v>15</v>
      </c>
      <c r="G234" s="11">
        <v>199.92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f>SUM(G234:N234)</f>
        <v>199.92</v>
      </c>
    </row>
    <row r="235" spans="1:20" ht="90" customHeight="1" x14ac:dyDescent="0.2">
      <c r="A235" s="159"/>
      <c r="B235" s="160"/>
      <c r="C235" s="84" t="s">
        <v>231</v>
      </c>
      <c r="D235" s="10">
        <v>2021</v>
      </c>
      <c r="E235" s="158" t="s">
        <v>206</v>
      </c>
      <c r="F235" s="10" t="s">
        <v>15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485.1</v>
      </c>
      <c r="M235" s="18">
        <v>0</v>
      </c>
      <c r="N235" s="18">
        <v>0</v>
      </c>
      <c r="O235" s="11">
        <f>SUM(G235:N235)</f>
        <v>485.1</v>
      </c>
    </row>
    <row r="236" spans="1:20" ht="110.25" customHeight="1" x14ac:dyDescent="0.2">
      <c r="A236" s="161"/>
      <c r="B236" s="162"/>
      <c r="C236" s="84" t="s">
        <v>210</v>
      </c>
      <c r="D236" s="10">
        <v>2022</v>
      </c>
      <c r="E236" s="158" t="s">
        <v>206</v>
      </c>
      <c r="F236" s="10" t="s">
        <v>15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488.9</v>
      </c>
      <c r="N236" s="18">
        <v>0</v>
      </c>
      <c r="O236" s="11">
        <f>SUM(G236:N236)</f>
        <v>488.9</v>
      </c>
    </row>
    <row r="237" spans="1:20" ht="90" customHeight="1" x14ac:dyDescent="0.2">
      <c r="A237" s="275" t="s">
        <v>81</v>
      </c>
      <c r="B237" s="275"/>
      <c r="C237" s="276"/>
      <c r="D237" s="276"/>
      <c r="E237" s="276"/>
      <c r="F237" s="10" t="s">
        <v>15</v>
      </c>
      <c r="G237" s="122">
        <f t="shared" ref="G237:N237" si="9">G233+G234+G235</f>
        <v>199.92</v>
      </c>
      <c r="H237" s="122">
        <f t="shared" si="9"/>
        <v>0</v>
      </c>
      <c r="I237" s="122">
        <f t="shared" si="9"/>
        <v>0</v>
      </c>
      <c r="J237" s="122">
        <f t="shared" si="9"/>
        <v>0</v>
      </c>
      <c r="K237" s="122">
        <f t="shared" si="9"/>
        <v>167.43</v>
      </c>
      <c r="L237" s="122">
        <f t="shared" si="9"/>
        <v>485.1</v>
      </c>
      <c r="M237" s="122">
        <f>M233+M234+M235+M236</f>
        <v>488.9</v>
      </c>
      <c r="N237" s="122">
        <f t="shared" si="9"/>
        <v>0</v>
      </c>
      <c r="O237" s="122">
        <f>O233+O234+O235+O236</f>
        <v>1341.35</v>
      </c>
    </row>
    <row r="238" spans="1:20" ht="98.25" customHeight="1" x14ac:dyDescent="0.2">
      <c r="A238" s="163">
        <v>5</v>
      </c>
      <c r="B238" s="164" t="s">
        <v>211</v>
      </c>
      <c r="C238" s="90" t="s">
        <v>212</v>
      </c>
      <c r="D238" s="165" t="s">
        <v>213</v>
      </c>
      <c r="E238" s="156" t="s">
        <v>206</v>
      </c>
      <c r="F238" s="23" t="s">
        <v>15</v>
      </c>
      <c r="G238" s="61">
        <v>0</v>
      </c>
      <c r="H238" s="11">
        <v>300</v>
      </c>
      <c r="I238" s="11">
        <v>0</v>
      </c>
      <c r="J238" s="11">
        <v>0</v>
      </c>
      <c r="K238" s="11">
        <v>0</v>
      </c>
      <c r="L238" s="11">
        <v>1469</v>
      </c>
      <c r="M238" s="11">
        <v>0</v>
      </c>
      <c r="N238" s="11">
        <v>0</v>
      </c>
      <c r="O238" s="11">
        <f>SUM(G238:N238)</f>
        <v>1769</v>
      </c>
    </row>
    <row r="239" spans="1:20" ht="19.5" customHeight="1" x14ac:dyDescent="0.2">
      <c r="A239" s="241">
        <v>18</v>
      </c>
      <c r="B239" s="241"/>
      <c r="C239" s="241"/>
      <c r="D239" s="241"/>
      <c r="E239" s="241"/>
      <c r="F239" s="241"/>
      <c r="G239" s="241"/>
      <c r="H239" s="241"/>
      <c r="I239" s="241"/>
      <c r="J239" s="241"/>
      <c r="K239" s="241"/>
      <c r="L239" s="241"/>
      <c r="M239" s="241"/>
      <c r="N239" s="241"/>
      <c r="O239" s="241"/>
    </row>
    <row r="240" spans="1:20" ht="28.5" customHeight="1" x14ac:dyDescent="0.2">
      <c r="A240" s="277" t="s">
        <v>222</v>
      </c>
      <c r="B240" s="277"/>
      <c r="C240" s="277"/>
      <c r="D240" s="277"/>
      <c r="E240" s="277"/>
      <c r="F240" s="277"/>
      <c r="G240" s="277"/>
      <c r="H240" s="277"/>
      <c r="I240" s="277"/>
      <c r="J240" s="277"/>
      <c r="K240" s="277"/>
      <c r="L240" s="277"/>
      <c r="M240" s="277"/>
      <c r="N240" s="277"/>
      <c r="O240" s="277"/>
    </row>
    <row r="241" spans="1:15" ht="28.5" customHeight="1" x14ac:dyDescent="0.2">
      <c r="A241" s="7">
        <v>1</v>
      </c>
      <c r="B241" s="7">
        <v>2</v>
      </c>
      <c r="C241" s="7">
        <v>3</v>
      </c>
      <c r="D241" s="7">
        <v>4</v>
      </c>
      <c r="E241" s="7">
        <v>5</v>
      </c>
      <c r="F241" s="7">
        <v>6</v>
      </c>
      <c r="G241" s="7">
        <v>7</v>
      </c>
      <c r="H241" s="7">
        <v>8</v>
      </c>
      <c r="I241" s="7">
        <v>9</v>
      </c>
      <c r="J241" s="7">
        <v>10</v>
      </c>
      <c r="K241" s="7">
        <v>11</v>
      </c>
      <c r="L241" s="7">
        <v>12</v>
      </c>
      <c r="M241" s="7">
        <v>13</v>
      </c>
      <c r="N241" s="7">
        <v>14</v>
      </c>
      <c r="O241" s="7">
        <v>15</v>
      </c>
    </row>
    <row r="242" spans="1:15" ht="123" customHeight="1" x14ac:dyDescent="0.2">
      <c r="A242" s="166" t="s">
        <v>115</v>
      </c>
      <c r="B242" s="167" t="s">
        <v>115</v>
      </c>
      <c r="C242" s="168" t="s">
        <v>214</v>
      </c>
      <c r="D242" s="169">
        <v>2021</v>
      </c>
      <c r="E242" s="170" t="s">
        <v>206</v>
      </c>
      <c r="F242" s="10" t="s">
        <v>15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31</v>
      </c>
      <c r="M242" s="11">
        <v>0</v>
      </c>
      <c r="N242" s="11">
        <v>0</v>
      </c>
      <c r="O242" s="11">
        <f>SUM(G242:N242)</f>
        <v>31</v>
      </c>
    </row>
    <row r="243" spans="1:15" ht="69.75" customHeight="1" x14ac:dyDescent="0.2">
      <c r="A243" s="278" t="s">
        <v>81</v>
      </c>
      <c r="B243" s="278"/>
      <c r="C243" s="279"/>
      <c r="D243" s="279"/>
      <c r="E243" s="279"/>
      <c r="F243" s="10" t="s">
        <v>15</v>
      </c>
      <c r="G243" s="171">
        <f>G238+G242</f>
        <v>0</v>
      </c>
      <c r="H243" s="171">
        <f t="shared" ref="H243:O243" si="10">H238+H242</f>
        <v>300</v>
      </c>
      <c r="I243" s="171">
        <f t="shared" si="10"/>
        <v>0</v>
      </c>
      <c r="J243" s="171">
        <f t="shared" si="10"/>
        <v>0</v>
      </c>
      <c r="K243" s="171">
        <f t="shared" si="10"/>
        <v>0</v>
      </c>
      <c r="L243" s="171">
        <f t="shared" si="10"/>
        <v>1500</v>
      </c>
      <c r="M243" s="171">
        <f t="shared" si="10"/>
        <v>0</v>
      </c>
      <c r="N243" s="171">
        <f t="shared" si="10"/>
        <v>0</v>
      </c>
      <c r="O243" s="171">
        <f t="shared" si="10"/>
        <v>1800</v>
      </c>
    </row>
    <row r="244" spans="1:15" ht="73.5" customHeight="1" x14ac:dyDescent="0.2">
      <c r="A244" s="270" t="s">
        <v>215</v>
      </c>
      <c r="B244" s="270"/>
      <c r="C244" s="172"/>
      <c r="D244" s="173"/>
      <c r="E244" s="174"/>
      <c r="F244" s="10" t="s">
        <v>15</v>
      </c>
      <c r="G244" s="175">
        <f t="shared" ref="G244:O244" si="11">G237+G87+G211+G232+G243</f>
        <v>254461.71999999997</v>
      </c>
      <c r="H244" s="175">
        <f t="shared" si="11"/>
        <v>419562.19999999995</v>
      </c>
      <c r="I244" s="175">
        <f t="shared" si="11"/>
        <v>461134.5</v>
      </c>
      <c r="J244" s="175">
        <f t="shared" si="11"/>
        <v>614158.40000000014</v>
      </c>
      <c r="K244" s="175">
        <f t="shared" si="11"/>
        <v>910764.79</v>
      </c>
      <c r="L244" s="175">
        <f t="shared" si="11"/>
        <v>2006163.4</v>
      </c>
      <c r="M244" s="175">
        <f t="shared" si="11"/>
        <v>2130497.2000000002</v>
      </c>
      <c r="N244" s="175">
        <f t="shared" si="11"/>
        <v>2042941.9</v>
      </c>
      <c r="O244" s="175">
        <f t="shared" si="11"/>
        <v>8839684.1099999994</v>
      </c>
    </row>
    <row r="245" spans="1:15" ht="0.75" customHeight="1" x14ac:dyDescent="0.2">
      <c r="A245" s="176"/>
      <c r="B245" s="177"/>
      <c r="C245" s="178"/>
      <c r="D245" s="179"/>
      <c r="E245" s="179"/>
      <c r="F245" s="180"/>
      <c r="G245" s="181"/>
      <c r="H245" s="181"/>
      <c r="I245" s="181"/>
      <c r="J245" s="181"/>
      <c r="K245" s="181"/>
      <c r="L245" s="181"/>
      <c r="M245" s="182"/>
      <c r="N245" s="182"/>
      <c r="O245" s="183"/>
    </row>
    <row r="246" spans="1:15" ht="72.75" customHeight="1" x14ac:dyDescent="0.25">
      <c r="B246" s="184" t="s">
        <v>115</v>
      </c>
      <c r="C246" s="184"/>
      <c r="D246" s="184"/>
      <c r="E246" s="184"/>
    </row>
    <row r="247" spans="1:15" s="190" customFormat="1" ht="27" x14ac:dyDescent="0.35">
      <c r="B247" s="282" t="s">
        <v>232</v>
      </c>
      <c r="C247" s="282"/>
      <c r="D247" s="282"/>
      <c r="E247" s="282"/>
      <c r="F247" s="282"/>
      <c r="G247" s="282"/>
      <c r="H247" s="282"/>
      <c r="I247" s="282"/>
      <c r="J247" s="282"/>
      <c r="K247" s="282"/>
    </row>
    <row r="248" spans="1:15" s="190" customFormat="1" x14ac:dyDescent="0.2"/>
  </sheetData>
  <sheetProtection selectLockedCells="1" selectUnlockedCells="1"/>
  <mergeCells count="78">
    <mergeCell ref="A244:B244"/>
    <mergeCell ref="B247:K247"/>
    <mergeCell ref="A232:B232"/>
    <mergeCell ref="A237:B237"/>
    <mergeCell ref="C237:E237"/>
    <mergeCell ref="A239:O239"/>
    <mergeCell ref="A240:O240"/>
    <mergeCell ref="A243:B243"/>
    <mergeCell ref="C243:E243"/>
    <mergeCell ref="A228:O228"/>
    <mergeCell ref="A176:O176"/>
    <mergeCell ref="A177:O177"/>
    <mergeCell ref="A197:O197"/>
    <mergeCell ref="A198:O198"/>
    <mergeCell ref="A211:B211"/>
    <mergeCell ref="C211:E211"/>
    <mergeCell ref="A212:O212"/>
    <mergeCell ref="A213:O213"/>
    <mergeCell ref="B215:B219"/>
    <mergeCell ref="E215:E218"/>
    <mergeCell ref="A227:O227"/>
    <mergeCell ref="A163:O163"/>
    <mergeCell ref="A100:O100"/>
    <mergeCell ref="B109:B110"/>
    <mergeCell ref="A111:O111"/>
    <mergeCell ref="A112:O112"/>
    <mergeCell ref="A123:O123"/>
    <mergeCell ref="A124:O124"/>
    <mergeCell ref="A137:O137"/>
    <mergeCell ref="A138:O138"/>
    <mergeCell ref="A150:O150"/>
    <mergeCell ref="A151:O151"/>
    <mergeCell ref="A162:O162"/>
    <mergeCell ref="A99:O99"/>
    <mergeCell ref="A60:O60"/>
    <mergeCell ref="A61:O61"/>
    <mergeCell ref="A66:A67"/>
    <mergeCell ref="A72:O72"/>
    <mergeCell ref="A73:O73"/>
    <mergeCell ref="B77:B79"/>
    <mergeCell ref="A78:A79"/>
    <mergeCell ref="A87:B87"/>
    <mergeCell ref="A88:O88"/>
    <mergeCell ref="A89:O89"/>
    <mergeCell ref="B91:B92"/>
    <mergeCell ref="E91:E92"/>
    <mergeCell ref="A36:O36"/>
    <mergeCell ref="A43:O43"/>
    <mergeCell ref="A44:O44"/>
    <mergeCell ref="A46:A49"/>
    <mergeCell ref="D50:D55"/>
    <mergeCell ref="F50:F55"/>
    <mergeCell ref="A35:O35"/>
    <mergeCell ref="G7:O8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B12:B15"/>
    <mergeCell ref="E12:E20"/>
    <mergeCell ref="A23:O23"/>
    <mergeCell ref="A24:O24"/>
    <mergeCell ref="B26:B28"/>
    <mergeCell ref="J2:O2"/>
    <mergeCell ref="J3:O3"/>
    <mergeCell ref="M4:S4"/>
    <mergeCell ref="A5:O5"/>
    <mergeCell ref="A7:A10"/>
    <mergeCell ref="B7:B10"/>
    <mergeCell ref="C7:C10"/>
    <mergeCell ref="D7:D10"/>
    <mergeCell ref="E7:E10"/>
    <mergeCell ref="F7:F10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  <rowBreaks count="15" manualBreakCount="15">
    <brk id="22" min="1" max="14" man="1"/>
    <brk id="34" max="14" man="1"/>
    <brk id="42" max="14" man="1"/>
    <brk id="71" max="14" man="1"/>
    <brk id="87" max="14" man="1"/>
    <brk id="98" max="14" man="1"/>
    <brk id="110" max="14" man="1"/>
    <brk id="122" max="14" man="1"/>
    <brk id="136" max="14" man="1"/>
    <brk id="149" max="14" man="1"/>
    <brk id="161" max="14" man="1"/>
    <brk id="175" max="14" man="1"/>
    <brk id="196" max="14" man="1"/>
    <brk id="226" max="14" man="1"/>
    <brk id="23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view="pageBreakPreview" topLeftCell="E2" zoomScaleNormal="100" zoomScaleSheetLayoutView="100" workbookViewId="0">
      <selection activeCell="K7" sqref="K7"/>
    </sheetView>
  </sheetViews>
  <sheetFormatPr defaultRowHeight="12.75" x14ac:dyDescent="0.2"/>
  <cols>
    <col min="1" max="1" width="5.85546875" style="1" customWidth="1"/>
    <col min="2" max="2" width="19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" width="11.28515625" style="1" bestFit="1" customWidth="1"/>
    <col min="17" max="16384" width="9.140625" style="1"/>
  </cols>
  <sheetData>
    <row r="1" spans="1:16" ht="21.75" customHeight="1" x14ac:dyDescent="0.3">
      <c r="K1" s="2"/>
    </row>
    <row r="2" spans="1:16" ht="21.75" customHeight="1" x14ac:dyDescent="0.35">
      <c r="A2" s="3"/>
      <c r="B2" s="3"/>
      <c r="C2" s="3"/>
      <c r="D2" s="3"/>
      <c r="E2" s="3"/>
      <c r="F2" s="3"/>
      <c r="G2" s="3"/>
      <c r="H2" s="3"/>
      <c r="I2" s="4"/>
      <c r="J2" s="232"/>
      <c r="K2" s="234"/>
      <c r="L2" s="295" t="s">
        <v>267</v>
      </c>
      <c r="M2" s="295"/>
      <c r="N2" s="295"/>
      <c r="O2" s="295"/>
      <c r="P2" s="1" t="s">
        <v>265</v>
      </c>
    </row>
    <row r="3" spans="1:16" ht="22.5" customHeight="1" x14ac:dyDescent="0.35">
      <c r="A3" s="3"/>
      <c r="B3" s="3"/>
      <c r="C3" s="3"/>
      <c r="D3" s="3"/>
      <c r="E3" s="3"/>
      <c r="F3" s="3"/>
      <c r="G3" s="3"/>
      <c r="H3" s="3"/>
      <c r="I3" s="3"/>
      <c r="J3" s="233"/>
      <c r="K3" s="294" t="s">
        <v>268</v>
      </c>
      <c r="L3" s="294"/>
      <c r="M3" s="294"/>
      <c r="N3" s="294"/>
      <c r="O3" s="294"/>
    </row>
    <row r="4" spans="1:16" ht="18" customHeight="1" x14ac:dyDescent="0.35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332" t="s">
        <v>271</v>
      </c>
      <c r="M4" s="332"/>
      <c r="N4" s="332"/>
      <c r="O4" s="332"/>
      <c r="P4" s="332"/>
    </row>
    <row r="5" spans="1:16" ht="21.75" customHeight="1" x14ac:dyDescent="0.4">
      <c r="A5" s="296" t="s">
        <v>234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</row>
    <row r="6" spans="1:16" ht="27.75" customHeight="1" x14ac:dyDescent="0.4">
      <c r="A6" s="296" t="s">
        <v>2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1" t="s">
        <v>266</v>
      </c>
    </row>
    <row r="8" spans="1:16" ht="25.5" customHeight="1" x14ac:dyDescent="0.2">
      <c r="A8" s="293" t="s">
        <v>3</v>
      </c>
      <c r="B8" s="293" t="s">
        <v>4</v>
      </c>
      <c r="C8" s="293" t="s">
        <v>5</v>
      </c>
      <c r="D8" s="293" t="s">
        <v>6</v>
      </c>
      <c r="E8" s="293" t="s">
        <v>7</v>
      </c>
      <c r="F8" s="293" t="s">
        <v>8</v>
      </c>
      <c r="G8" s="297" t="s">
        <v>258</v>
      </c>
      <c r="H8" s="298"/>
      <c r="I8" s="298"/>
      <c r="J8" s="298"/>
      <c r="K8" s="298"/>
      <c r="L8" s="298"/>
      <c r="M8" s="298"/>
      <c r="N8" s="298"/>
      <c r="O8" s="299"/>
    </row>
    <row r="9" spans="1:16" ht="23.25" customHeight="1" x14ac:dyDescent="0.2">
      <c r="A9" s="293"/>
      <c r="B9" s="293"/>
      <c r="C9" s="293"/>
      <c r="D9" s="293"/>
      <c r="E9" s="293"/>
      <c r="F9" s="293"/>
      <c r="G9" s="300"/>
      <c r="H9" s="301"/>
      <c r="I9" s="301"/>
      <c r="J9" s="301"/>
      <c r="K9" s="301"/>
      <c r="L9" s="301"/>
      <c r="M9" s="301"/>
      <c r="N9" s="301"/>
      <c r="O9" s="302"/>
    </row>
    <row r="10" spans="1:16" ht="24" customHeight="1" x14ac:dyDescent="0.2">
      <c r="A10" s="293"/>
      <c r="B10" s="293"/>
      <c r="C10" s="293"/>
      <c r="D10" s="293"/>
      <c r="E10" s="293"/>
      <c r="F10" s="293"/>
      <c r="G10" s="293">
        <v>2016</v>
      </c>
      <c r="H10" s="293">
        <v>2017</v>
      </c>
      <c r="I10" s="293">
        <v>2018</v>
      </c>
      <c r="J10" s="293">
        <v>2019</v>
      </c>
      <c r="K10" s="293">
        <v>2020</v>
      </c>
      <c r="L10" s="293">
        <v>2021</v>
      </c>
      <c r="M10" s="293">
        <v>2022</v>
      </c>
      <c r="N10" s="293">
        <v>2023</v>
      </c>
      <c r="O10" s="293" t="s">
        <v>10</v>
      </c>
    </row>
    <row r="11" spans="1:16" ht="33" customHeight="1" x14ac:dyDescent="0.2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</row>
    <row r="12" spans="1:16" ht="15.75" customHeight="1" x14ac:dyDescent="0.2">
      <c r="A12" s="41">
        <v>1</v>
      </c>
      <c r="B12" s="41">
        <v>2</v>
      </c>
      <c r="C12" s="41">
        <v>3</v>
      </c>
      <c r="D12" s="41">
        <v>4</v>
      </c>
      <c r="E12" s="41">
        <v>5</v>
      </c>
      <c r="F12" s="41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O12" s="7">
        <v>15</v>
      </c>
    </row>
    <row r="13" spans="1:16" ht="62.25" customHeight="1" x14ac:dyDescent="0.2">
      <c r="A13" s="291">
        <v>1</v>
      </c>
      <c r="B13" s="283" t="s">
        <v>11</v>
      </c>
      <c r="C13" s="223" t="s">
        <v>252</v>
      </c>
      <c r="D13" s="284" t="s">
        <v>46</v>
      </c>
      <c r="E13" s="288" t="s">
        <v>14</v>
      </c>
      <c r="F13" s="284" t="s">
        <v>15</v>
      </c>
      <c r="G13" s="220">
        <v>0</v>
      </c>
      <c r="H13" s="194">
        <v>0</v>
      </c>
      <c r="I13" s="194">
        <v>0</v>
      </c>
      <c r="J13" s="194">
        <f>J15+J16+J17+J18+J19+J20+J21+J22+J23+J24</f>
        <v>2300</v>
      </c>
      <c r="K13" s="194">
        <f t="shared" ref="K13:N13" si="0">K15+K16+K17+K18+K19+K20+K21+K22+K23+K24</f>
        <v>0</v>
      </c>
      <c r="L13" s="194">
        <f t="shared" si="0"/>
        <v>15850</v>
      </c>
      <c r="M13" s="194">
        <f t="shared" si="0"/>
        <v>9150</v>
      </c>
      <c r="N13" s="194">
        <f t="shared" si="0"/>
        <v>19500</v>
      </c>
      <c r="O13" s="193">
        <f>SUM(G13:N13)</f>
        <v>46800</v>
      </c>
    </row>
    <row r="14" spans="1:16" ht="18.75" customHeight="1" x14ac:dyDescent="0.2">
      <c r="A14" s="291"/>
      <c r="B14" s="283"/>
      <c r="C14" s="223" t="s">
        <v>47</v>
      </c>
      <c r="D14" s="284"/>
      <c r="E14" s="288"/>
      <c r="F14" s="284"/>
      <c r="G14" s="220"/>
      <c r="H14" s="194"/>
      <c r="I14" s="194"/>
      <c r="J14" s="194"/>
      <c r="K14" s="194"/>
      <c r="L14" s="194"/>
      <c r="M14" s="194"/>
      <c r="N14" s="194"/>
      <c r="O14" s="193"/>
    </row>
    <row r="15" spans="1:16" ht="47.25" customHeight="1" x14ac:dyDescent="0.2">
      <c r="A15" s="291"/>
      <c r="B15" s="283"/>
      <c r="C15" s="223" t="s">
        <v>259</v>
      </c>
      <c r="D15" s="284"/>
      <c r="E15" s="288"/>
      <c r="F15" s="284"/>
      <c r="G15" s="220">
        <v>0</v>
      </c>
      <c r="H15" s="193">
        <v>0</v>
      </c>
      <c r="I15" s="193">
        <v>0</v>
      </c>
      <c r="J15" s="193">
        <v>0</v>
      </c>
      <c r="K15" s="193">
        <v>0</v>
      </c>
      <c r="L15" s="194">
        <v>3500</v>
      </c>
      <c r="M15" s="194">
        <f>900-350-350</f>
        <v>200</v>
      </c>
      <c r="N15" s="194">
        <v>0</v>
      </c>
      <c r="O15" s="193">
        <f t="shared" ref="O15:O20" si="1">SUM(G15:N15)</f>
        <v>3700</v>
      </c>
    </row>
    <row r="16" spans="1:16" ht="36" customHeight="1" x14ac:dyDescent="0.2">
      <c r="A16" s="291"/>
      <c r="B16" s="283"/>
      <c r="C16" s="223" t="s">
        <v>260</v>
      </c>
      <c r="D16" s="284"/>
      <c r="E16" s="288"/>
      <c r="F16" s="284"/>
      <c r="G16" s="220">
        <v>0</v>
      </c>
      <c r="H16" s="193">
        <v>0</v>
      </c>
      <c r="I16" s="193">
        <v>0</v>
      </c>
      <c r="J16" s="193">
        <v>2300</v>
      </c>
      <c r="K16" s="193">
        <v>0</v>
      </c>
      <c r="L16" s="194">
        <f>5100-450</f>
        <v>4650</v>
      </c>
      <c r="M16" s="194">
        <v>2800</v>
      </c>
      <c r="N16" s="194">
        <v>0</v>
      </c>
      <c r="O16" s="193">
        <f t="shared" si="1"/>
        <v>9750</v>
      </c>
    </row>
    <row r="17" spans="1:15" ht="37.5" customHeight="1" x14ac:dyDescent="0.2">
      <c r="A17" s="291"/>
      <c r="B17" s="283"/>
      <c r="C17" s="223" t="s">
        <v>253</v>
      </c>
      <c r="D17" s="284"/>
      <c r="E17" s="288"/>
      <c r="F17" s="284"/>
      <c r="G17" s="220">
        <v>0</v>
      </c>
      <c r="H17" s="193">
        <v>0</v>
      </c>
      <c r="I17" s="193">
        <v>0</v>
      </c>
      <c r="J17" s="193">
        <v>0</v>
      </c>
      <c r="K17" s="193">
        <v>0</v>
      </c>
      <c r="L17" s="194">
        <f>4000+375</f>
        <v>4375</v>
      </c>
      <c r="M17" s="194">
        <v>4300</v>
      </c>
      <c r="N17" s="194">
        <f>4500+1600</f>
        <v>6100</v>
      </c>
      <c r="O17" s="193">
        <f t="shared" si="1"/>
        <v>14775</v>
      </c>
    </row>
    <row r="18" spans="1:15" ht="23.25" customHeight="1" x14ac:dyDescent="0.2">
      <c r="A18" s="291"/>
      <c r="B18" s="283"/>
      <c r="C18" s="223" t="s">
        <v>51</v>
      </c>
      <c r="D18" s="284"/>
      <c r="E18" s="288"/>
      <c r="F18" s="284"/>
      <c r="G18" s="220">
        <v>0</v>
      </c>
      <c r="H18" s="193">
        <v>0</v>
      </c>
      <c r="I18" s="193">
        <v>0</v>
      </c>
      <c r="J18" s="193">
        <v>0</v>
      </c>
      <c r="K18" s="193">
        <v>0</v>
      </c>
      <c r="L18" s="194">
        <v>0</v>
      </c>
      <c r="M18" s="194">
        <f>850+350</f>
        <v>1200</v>
      </c>
      <c r="N18" s="194">
        <f>735-735</f>
        <v>0</v>
      </c>
      <c r="O18" s="193">
        <f t="shared" si="1"/>
        <v>1200</v>
      </c>
    </row>
    <row r="19" spans="1:15" ht="23.25" customHeight="1" x14ac:dyDescent="0.2">
      <c r="A19" s="291"/>
      <c r="B19" s="283"/>
      <c r="C19" s="223" t="s">
        <v>52</v>
      </c>
      <c r="D19" s="284"/>
      <c r="E19" s="288"/>
      <c r="F19" s="284"/>
      <c r="G19" s="220">
        <v>0</v>
      </c>
      <c r="H19" s="193">
        <v>0</v>
      </c>
      <c r="I19" s="193">
        <v>0</v>
      </c>
      <c r="J19" s="193">
        <v>0</v>
      </c>
      <c r="K19" s="193">
        <v>0</v>
      </c>
      <c r="L19" s="194">
        <v>0</v>
      </c>
      <c r="M19" s="194">
        <f>300+350</f>
        <v>650</v>
      </c>
      <c r="N19" s="194">
        <v>0</v>
      </c>
      <c r="O19" s="193">
        <f t="shared" si="1"/>
        <v>650</v>
      </c>
    </row>
    <row r="20" spans="1:15" ht="36.75" customHeight="1" x14ac:dyDescent="0.2">
      <c r="A20" s="291"/>
      <c r="B20" s="283"/>
      <c r="C20" s="223" t="s">
        <v>254</v>
      </c>
      <c r="D20" s="284"/>
      <c r="E20" s="288"/>
      <c r="F20" s="284"/>
      <c r="G20" s="220">
        <v>0</v>
      </c>
      <c r="H20" s="193">
        <v>0</v>
      </c>
      <c r="I20" s="193">
        <v>0</v>
      </c>
      <c r="J20" s="193">
        <v>0</v>
      </c>
      <c r="K20" s="193">
        <v>0</v>
      </c>
      <c r="L20" s="194">
        <v>2875</v>
      </c>
      <c r="M20" s="194">
        <v>0</v>
      </c>
      <c r="N20" s="194">
        <v>0</v>
      </c>
      <c r="O20" s="193">
        <f t="shared" si="1"/>
        <v>2875</v>
      </c>
    </row>
    <row r="21" spans="1:15" ht="32.25" customHeight="1" x14ac:dyDescent="0.2">
      <c r="A21" s="291"/>
      <c r="B21" s="283"/>
      <c r="C21" s="223" t="s">
        <v>54</v>
      </c>
      <c r="D21" s="284"/>
      <c r="E21" s="288"/>
      <c r="F21" s="284"/>
      <c r="G21" s="220">
        <v>0</v>
      </c>
      <c r="H21" s="193">
        <v>0</v>
      </c>
      <c r="I21" s="193">
        <v>0</v>
      </c>
      <c r="J21" s="193">
        <v>0</v>
      </c>
      <c r="K21" s="193">
        <v>0</v>
      </c>
      <c r="L21" s="194">
        <v>450</v>
      </c>
      <c r="M21" s="193">
        <v>0</v>
      </c>
      <c r="N21" s="193">
        <v>0</v>
      </c>
      <c r="O21" s="193">
        <f>SUM(G21:N21)</f>
        <v>450</v>
      </c>
    </row>
    <row r="22" spans="1:15" ht="45.75" customHeight="1" x14ac:dyDescent="0.2">
      <c r="A22" s="291"/>
      <c r="B22" s="283"/>
      <c r="C22" s="223" t="s">
        <v>269</v>
      </c>
      <c r="D22" s="284"/>
      <c r="E22" s="288"/>
      <c r="F22" s="284"/>
      <c r="G22" s="220">
        <v>0</v>
      </c>
      <c r="H22" s="193">
        <v>0</v>
      </c>
      <c r="I22" s="193">
        <v>0</v>
      </c>
      <c r="J22" s="193">
        <v>0</v>
      </c>
      <c r="K22" s="193">
        <v>0</v>
      </c>
      <c r="L22" s="194">
        <v>0</v>
      </c>
      <c r="M22" s="193">
        <v>0</v>
      </c>
      <c r="N22" s="193">
        <v>6000</v>
      </c>
      <c r="O22" s="193">
        <f>SUM(G22:N22)</f>
        <v>6000</v>
      </c>
    </row>
    <row r="23" spans="1:15" ht="36" customHeight="1" x14ac:dyDescent="0.2">
      <c r="A23" s="291"/>
      <c r="B23" s="283"/>
      <c r="C23" s="223" t="s">
        <v>255</v>
      </c>
      <c r="D23" s="284"/>
      <c r="E23" s="288"/>
      <c r="F23" s="284"/>
      <c r="G23" s="220">
        <v>0</v>
      </c>
      <c r="H23" s="193">
        <v>0</v>
      </c>
      <c r="I23" s="193">
        <v>0</v>
      </c>
      <c r="J23" s="193">
        <v>0</v>
      </c>
      <c r="K23" s="193">
        <v>0</v>
      </c>
      <c r="L23" s="194">
        <v>0</v>
      </c>
      <c r="M23" s="193">
        <v>0</v>
      </c>
      <c r="N23" s="193">
        <v>5200</v>
      </c>
      <c r="O23" s="193">
        <f>SUM(G23:N23)</f>
        <v>5200</v>
      </c>
    </row>
    <row r="24" spans="1:15" ht="37.5" customHeight="1" x14ac:dyDescent="0.2">
      <c r="A24" s="291"/>
      <c r="B24" s="283"/>
      <c r="C24" s="223" t="s">
        <v>256</v>
      </c>
      <c r="D24" s="284"/>
      <c r="E24" s="288"/>
      <c r="F24" s="284"/>
      <c r="G24" s="221">
        <v>0</v>
      </c>
      <c r="H24" s="195">
        <v>0</v>
      </c>
      <c r="I24" s="195">
        <v>0</v>
      </c>
      <c r="J24" s="195">
        <v>0</v>
      </c>
      <c r="K24" s="195">
        <v>0</v>
      </c>
      <c r="L24" s="196">
        <v>0</v>
      </c>
      <c r="M24" s="195">
        <v>0</v>
      </c>
      <c r="N24" s="195">
        <v>2200</v>
      </c>
      <c r="O24" s="195">
        <f>SUM(G24:N24)</f>
        <v>2200</v>
      </c>
    </row>
    <row r="25" spans="1:15" ht="75" customHeight="1" x14ac:dyDescent="0.2">
      <c r="A25" s="291"/>
      <c r="B25" s="283"/>
      <c r="C25" s="223" t="s">
        <v>270</v>
      </c>
      <c r="D25" s="227" t="s">
        <v>46</v>
      </c>
      <c r="E25" s="288"/>
      <c r="F25" s="225" t="s">
        <v>15</v>
      </c>
      <c r="G25" s="222">
        <v>0</v>
      </c>
      <c r="H25" s="197">
        <v>0</v>
      </c>
      <c r="I25" s="197">
        <v>0</v>
      </c>
      <c r="J25" s="197">
        <v>2000</v>
      </c>
      <c r="K25" s="197">
        <v>1760.9</v>
      </c>
      <c r="L25" s="197">
        <f>2000+2100</f>
        <v>4100</v>
      </c>
      <c r="M25" s="197">
        <f>2500+3000+2149.3</f>
        <v>7649.3</v>
      </c>
      <c r="N25" s="197">
        <f>3000+10000+2000+13790</f>
        <v>28790</v>
      </c>
      <c r="O25" s="197">
        <f t="shared" ref="O25:O26" si="2">SUM(G25:N25)</f>
        <v>44300.2</v>
      </c>
    </row>
    <row r="26" spans="1:15" ht="86.25" customHeight="1" x14ac:dyDescent="0.2">
      <c r="A26" s="291"/>
      <c r="B26" s="283"/>
      <c r="C26" s="43" t="s">
        <v>261</v>
      </c>
      <c r="D26" s="226" t="s">
        <v>65</v>
      </c>
      <c r="E26" s="288"/>
      <c r="F26" s="109" t="s">
        <v>15</v>
      </c>
      <c r="G26" s="219">
        <v>0</v>
      </c>
      <c r="H26" s="192">
        <v>0</v>
      </c>
      <c r="I26" s="192">
        <v>0</v>
      </c>
      <c r="J26" s="192">
        <v>0</v>
      </c>
      <c r="K26" s="192">
        <v>0</v>
      </c>
      <c r="L26" s="192">
        <f>500+1000</f>
        <v>1500</v>
      </c>
      <c r="M26" s="192">
        <v>1000</v>
      </c>
      <c r="N26" s="192">
        <v>1500</v>
      </c>
      <c r="O26" s="191">
        <f t="shared" si="2"/>
        <v>4000</v>
      </c>
    </row>
    <row r="27" spans="1:15" ht="78.75" customHeight="1" x14ac:dyDescent="0.2">
      <c r="A27" s="291"/>
      <c r="B27" s="283"/>
      <c r="C27" s="43" t="s">
        <v>80</v>
      </c>
      <c r="D27" s="226">
        <v>2023</v>
      </c>
      <c r="E27" s="288"/>
      <c r="F27" s="109" t="s">
        <v>15</v>
      </c>
      <c r="G27" s="219">
        <v>0</v>
      </c>
      <c r="H27" s="192">
        <v>0</v>
      </c>
      <c r="I27" s="192">
        <v>0</v>
      </c>
      <c r="J27" s="192">
        <v>0</v>
      </c>
      <c r="K27" s="192">
        <v>0</v>
      </c>
      <c r="L27" s="192">
        <v>0</v>
      </c>
      <c r="M27" s="191">
        <v>0</v>
      </c>
      <c r="N27" s="191">
        <f>150000-25055</f>
        <v>124945</v>
      </c>
      <c r="O27" s="191">
        <f>SUM(G27:N27)</f>
        <v>124945</v>
      </c>
    </row>
    <row r="28" spans="1:15" ht="27.75" customHeight="1" x14ac:dyDescent="0.2">
      <c r="A28" s="241">
        <v>2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</row>
    <row r="29" spans="1:15" ht="19.5" customHeight="1" x14ac:dyDescent="0.2">
      <c r="A29" s="290" t="s">
        <v>222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</row>
    <row r="30" spans="1:15" ht="30" customHeight="1" x14ac:dyDescent="0.2">
      <c r="A30" s="62">
        <v>1</v>
      </c>
      <c r="B30" s="62">
        <v>2</v>
      </c>
      <c r="C30" s="62">
        <v>3</v>
      </c>
      <c r="D30" s="62">
        <v>4</v>
      </c>
      <c r="E30" s="62">
        <v>5</v>
      </c>
      <c r="F30" s="62">
        <v>6</v>
      </c>
      <c r="G30" s="62">
        <v>7</v>
      </c>
      <c r="H30" s="62">
        <v>8</v>
      </c>
      <c r="I30" s="62">
        <v>9</v>
      </c>
      <c r="J30" s="62">
        <v>10</v>
      </c>
      <c r="K30" s="62">
        <v>11</v>
      </c>
      <c r="L30" s="62">
        <v>12</v>
      </c>
      <c r="M30" s="62">
        <v>13</v>
      </c>
      <c r="N30" s="62">
        <v>14</v>
      </c>
      <c r="O30" s="62">
        <v>15</v>
      </c>
    </row>
    <row r="31" spans="1:15" ht="71.25" customHeight="1" x14ac:dyDescent="0.2">
      <c r="A31" s="260">
        <v>2</v>
      </c>
      <c r="B31" s="285" t="s">
        <v>82</v>
      </c>
      <c r="C31" s="229" t="s">
        <v>119</v>
      </c>
      <c r="D31" s="228" t="s">
        <v>65</v>
      </c>
      <c r="E31" s="287" t="s">
        <v>257</v>
      </c>
      <c r="F31" s="228" t="s">
        <v>15</v>
      </c>
      <c r="G31" s="230">
        <v>0</v>
      </c>
      <c r="H31" s="231">
        <v>0</v>
      </c>
      <c r="I31" s="231">
        <v>0</v>
      </c>
      <c r="J31" s="231">
        <v>0</v>
      </c>
      <c r="K31" s="231">
        <v>0</v>
      </c>
      <c r="L31" s="66">
        <v>425000</v>
      </c>
      <c r="M31" s="66">
        <v>510000</v>
      </c>
      <c r="N31" s="66">
        <v>210480</v>
      </c>
      <c r="O31" s="66">
        <f>SUM(G31:N31)</f>
        <v>1145480</v>
      </c>
    </row>
    <row r="32" spans="1:15" ht="78" customHeight="1" x14ac:dyDescent="0.2">
      <c r="A32" s="260"/>
      <c r="B32" s="283"/>
      <c r="C32" s="43" t="s">
        <v>156</v>
      </c>
      <c r="D32" s="226" t="s">
        <v>65</v>
      </c>
      <c r="E32" s="288"/>
      <c r="F32" s="226" t="s">
        <v>15</v>
      </c>
      <c r="G32" s="147">
        <v>0</v>
      </c>
      <c r="H32" s="18">
        <v>0</v>
      </c>
      <c r="I32" s="18">
        <v>0</v>
      </c>
      <c r="J32" s="18">
        <v>0</v>
      </c>
      <c r="K32" s="18">
        <v>0</v>
      </c>
      <c r="L32" s="11">
        <v>2500</v>
      </c>
      <c r="M32" s="11">
        <v>2750</v>
      </c>
      <c r="N32" s="11">
        <v>4500</v>
      </c>
      <c r="O32" s="11">
        <f t="shared" ref="O32" si="3">SUM(G32:N32)</f>
        <v>9750</v>
      </c>
    </row>
    <row r="33" spans="1:17" ht="74.25" customHeight="1" x14ac:dyDescent="0.2">
      <c r="A33" s="260"/>
      <c r="B33" s="283"/>
      <c r="C33" s="43" t="s">
        <v>251</v>
      </c>
      <c r="D33" s="226">
        <v>2023</v>
      </c>
      <c r="E33" s="288"/>
      <c r="F33" s="226" t="s">
        <v>15</v>
      </c>
      <c r="G33" s="147">
        <v>0</v>
      </c>
      <c r="H33" s="18">
        <v>0</v>
      </c>
      <c r="I33" s="18">
        <v>0</v>
      </c>
      <c r="J33" s="18">
        <v>0</v>
      </c>
      <c r="K33" s="18">
        <v>0</v>
      </c>
      <c r="L33" s="11">
        <v>0</v>
      </c>
      <c r="M33" s="11">
        <v>0</v>
      </c>
      <c r="N33" s="11">
        <v>400</v>
      </c>
      <c r="O33" s="11">
        <f t="shared" ref="O33:O34" si="4">SUM(G33:N33)</f>
        <v>400</v>
      </c>
    </row>
    <row r="34" spans="1:17" ht="69.75" customHeight="1" x14ac:dyDescent="0.2">
      <c r="A34" s="260"/>
      <c r="B34" s="283"/>
      <c r="C34" s="43" t="s">
        <v>242</v>
      </c>
      <c r="D34" s="226">
        <v>2023</v>
      </c>
      <c r="E34" s="288"/>
      <c r="F34" s="226" t="s">
        <v>15</v>
      </c>
      <c r="G34" s="147">
        <v>0</v>
      </c>
      <c r="H34" s="18">
        <v>0</v>
      </c>
      <c r="I34" s="18">
        <v>0</v>
      </c>
      <c r="J34" s="18">
        <v>0</v>
      </c>
      <c r="K34" s="18">
        <v>0</v>
      </c>
      <c r="L34" s="11">
        <v>0</v>
      </c>
      <c r="M34" s="11">
        <v>0</v>
      </c>
      <c r="N34" s="11">
        <v>9800</v>
      </c>
      <c r="O34" s="11">
        <f t="shared" si="4"/>
        <v>9800</v>
      </c>
      <c r="Q34" s="12">
        <f>N33+N34+N35+N36</f>
        <v>15020</v>
      </c>
    </row>
    <row r="35" spans="1:17" ht="84" customHeight="1" x14ac:dyDescent="0.2">
      <c r="A35" s="260"/>
      <c r="B35" s="283"/>
      <c r="C35" s="43" t="s">
        <v>262</v>
      </c>
      <c r="D35" s="226">
        <v>2023</v>
      </c>
      <c r="E35" s="288"/>
      <c r="F35" s="226" t="s">
        <v>15</v>
      </c>
      <c r="G35" s="147">
        <v>0</v>
      </c>
      <c r="H35" s="18">
        <v>0</v>
      </c>
      <c r="I35" s="18">
        <v>0</v>
      </c>
      <c r="J35" s="18">
        <v>0</v>
      </c>
      <c r="K35" s="18">
        <v>0</v>
      </c>
      <c r="L35" s="11">
        <v>0</v>
      </c>
      <c r="M35" s="11">
        <v>0</v>
      </c>
      <c r="N35" s="11">
        <v>4100</v>
      </c>
      <c r="O35" s="11">
        <f t="shared" ref="O35" si="5">SUM(G35:N35)</f>
        <v>4100</v>
      </c>
    </row>
    <row r="36" spans="1:17" ht="72.75" customHeight="1" x14ac:dyDescent="0.2">
      <c r="A36" s="260"/>
      <c r="B36" s="286"/>
      <c r="C36" s="205" t="s">
        <v>263</v>
      </c>
      <c r="D36" s="224">
        <v>2023</v>
      </c>
      <c r="E36" s="289"/>
      <c r="F36" s="224" t="s">
        <v>15</v>
      </c>
      <c r="G36" s="207">
        <v>0</v>
      </c>
      <c r="H36" s="189">
        <v>0</v>
      </c>
      <c r="I36" s="189">
        <v>0</v>
      </c>
      <c r="J36" s="189">
        <v>0</v>
      </c>
      <c r="K36" s="189">
        <v>0</v>
      </c>
      <c r="L36" s="188">
        <v>0</v>
      </c>
      <c r="M36" s="188">
        <v>0</v>
      </c>
      <c r="N36" s="188">
        <v>720</v>
      </c>
      <c r="O36" s="188">
        <f t="shared" ref="O36" si="6">SUM(G36:N36)</f>
        <v>720</v>
      </c>
    </row>
    <row r="37" spans="1:17" ht="180" customHeight="1" x14ac:dyDescent="0.2">
      <c r="A37" s="268">
        <v>3</v>
      </c>
      <c r="B37" s="283" t="s">
        <v>185</v>
      </c>
      <c r="C37" s="146" t="s">
        <v>264</v>
      </c>
      <c r="D37" s="226">
        <v>2023</v>
      </c>
      <c r="E37" s="289" t="s">
        <v>246</v>
      </c>
      <c r="F37" s="226" t="s">
        <v>15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208">
        <v>9689.6119999999992</v>
      </c>
      <c r="O37" s="209">
        <f>SUM(G37:N37)</f>
        <v>9689.6119999999992</v>
      </c>
    </row>
    <row r="38" spans="1:17" ht="84" customHeight="1" x14ac:dyDescent="0.2">
      <c r="A38" s="292"/>
      <c r="B38" s="283"/>
      <c r="C38" s="146" t="s">
        <v>233</v>
      </c>
      <c r="D38" s="226">
        <v>2023</v>
      </c>
      <c r="E38" s="287"/>
      <c r="F38" s="226" t="s">
        <v>15</v>
      </c>
      <c r="G38" s="192">
        <v>0</v>
      </c>
      <c r="H38" s="192">
        <v>0</v>
      </c>
      <c r="I38" s="192">
        <v>0</v>
      </c>
      <c r="J38" s="192">
        <v>0</v>
      </c>
      <c r="K38" s="192">
        <v>0</v>
      </c>
      <c r="L38" s="192">
        <v>0</v>
      </c>
      <c r="M38" s="192">
        <v>0</v>
      </c>
      <c r="N38" s="208">
        <v>934.28800000000001</v>
      </c>
      <c r="O38" s="209">
        <f>SUM(G38:N38)</f>
        <v>934.28800000000001</v>
      </c>
    </row>
    <row r="39" spans="1:17" ht="41.25" customHeight="1" x14ac:dyDescent="0.25">
      <c r="B39" s="184" t="s">
        <v>115</v>
      </c>
    </row>
    <row r="40" spans="1:17" s="185" customFormat="1" ht="57.75" customHeight="1" x14ac:dyDescent="0.35">
      <c r="B40" s="272" t="s">
        <v>217</v>
      </c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</row>
    <row r="41" spans="1:17" s="185" customFormat="1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sheetProtection selectLockedCells="1" selectUnlockedCells="1"/>
  <mergeCells count="34">
    <mergeCell ref="K3:O3"/>
    <mergeCell ref="L2:O2"/>
    <mergeCell ref="A6:O6"/>
    <mergeCell ref="A8:A11"/>
    <mergeCell ref="B8:B11"/>
    <mergeCell ref="C8:C11"/>
    <mergeCell ref="D8:D11"/>
    <mergeCell ref="E8:E11"/>
    <mergeCell ref="F8:F11"/>
    <mergeCell ref="A5:O5"/>
    <mergeCell ref="G8:O9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B40:O40"/>
    <mergeCell ref="B37:B38"/>
    <mergeCell ref="F13:F24"/>
    <mergeCell ref="D13:D24"/>
    <mergeCell ref="B31:B36"/>
    <mergeCell ref="E31:E36"/>
    <mergeCell ref="A28:O28"/>
    <mergeCell ref="A29:O29"/>
    <mergeCell ref="A13:A27"/>
    <mergeCell ref="B13:B27"/>
    <mergeCell ref="E13:E27"/>
    <mergeCell ref="A37:A38"/>
    <mergeCell ref="E37:E38"/>
    <mergeCell ref="A31:A3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="85" zoomScaleNormal="100" zoomScaleSheetLayoutView="85" workbookViewId="0">
      <selection activeCell="J33" sqref="J33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5.7109375" style="1" customWidth="1"/>
    <col min="8" max="8" width="16.5703125" style="1" customWidth="1"/>
    <col min="9" max="9" width="15.7109375" style="1" customWidth="1"/>
    <col min="10" max="10" width="16.5703125" style="1" customWidth="1"/>
    <col min="11" max="11" width="15.7109375" style="1" customWidth="1"/>
    <col min="12" max="12" width="16.5703125" style="1" customWidth="1"/>
    <col min="13" max="16384" width="9.140625" style="1"/>
  </cols>
  <sheetData>
    <row r="1" spans="1:12" ht="21.75" customHeight="1" x14ac:dyDescent="0.2"/>
    <row r="2" spans="1:12" ht="21.75" customHeight="1" x14ac:dyDescent="0.2">
      <c r="A2" s="3"/>
      <c r="B2" s="3"/>
      <c r="C2" s="3"/>
      <c r="D2" s="3"/>
      <c r="E2" s="3"/>
      <c r="F2" s="3"/>
      <c r="G2" s="235"/>
      <c r="H2" s="235"/>
      <c r="I2" s="235"/>
      <c r="J2" s="235"/>
      <c r="K2" s="235"/>
      <c r="L2" s="235"/>
    </row>
    <row r="3" spans="1:12" ht="15.75" customHeight="1" x14ac:dyDescent="0.3">
      <c r="A3" s="3"/>
      <c r="B3" s="3"/>
      <c r="C3" s="3"/>
      <c r="D3" s="3"/>
      <c r="E3" s="3"/>
      <c r="F3" s="3"/>
      <c r="G3" s="236"/>
      <c r="H3" s="236"/>
      <c r="I3" s="236"/>
      <c r="J3" s="236"/>
      <c r="K3" s="236"/>
      <c r="L3" s="236"/>
    </row>
    <row r="4" spans="1:12" ht="15.75" customHeight="1" x14ac:dyDescent="0.3">
      <c r="A4" s="3"/>
      <c r="B4" s="3"/>
      <c r="C4" s="3"/>
      <c r="D4" s="3"/>
      <c r="E4" s="3"/>
      <c r="F4" s="3"/>
      <c r="G4" s="237"/>
      <c r="H4" s="237"/>
      <c r="I4" s="237"/>
    </row>
    <row r="5" spans="1:12" ht="21.75" customHeight="1" x14ac:dyDescent="0.35">
      <c r="A5" s="239" t="s">
        <v>234</v>
      </c>
      <c r="B5" s="239"/>
      <c r="C5" s="239"/>
      <c r="D5" s="239"/>
      <c r="E5" s="239"/>
      <c r="F5" s="239"/>
      <c r="G5" s="239"/>
      <c r="H5" s="239"/>
    </row>
    <row r="6" spans="1:12" ht="21.75" customHeight="1" x14ac:dyDescent="0.35">
      <c r="A6" s="239" t="s">
        <v>2</v>
      </c>
      <c r="B6" s="239"/>
      <c r="C6" s="239"/>
      <c r="D6" s="239"/>
      <c r="E6" s="239"/>
      <c r="F6" s="239"/>
      <c r="G6" s="239"/>
      <c r="H6" s="239"/>
    </row>
    <row r="8" spans="1:12" ht="12.75" customHeight="1" x14ac:dyDescent="0.2">
      <c r="A8" s="240" t="s">
        <v>3</v>
      </c>
      <c r="B8" s="240" t="s">
        <v>4</v>
      </c>
      <c r="C8" s="240" t="s">
        <v>5</v>
      </c>
      <c r="D8" s="240" t="s">
        <v>6</v>
      </c>
      <c r="E8" s="240" t="s">
        <v>7</v>
      </c>
      <c r="F8" s="240" t="s">
        <v>8</v>
      </c>
      <c r="G8" s="303" t="s">
        <v>248</v>
      </c>
      <c r="H8" s="304"/>
      <c r="I8" s="309" t="s">
        <v>249</v>
      </c>
      <c r="J8" s="310"/>
      <c r="K8" s="303" t="s">
        <v>250</v>
      </c>
      <c r="L8" s="304"/>
    </row>
    <row r="9" spans="1:12" ht="12.75" customHeight="1" x14ac:dyDescent="0.2">
      <c r="A9" s="240"/>
      <c r="B9" s="240"/>
      <c r="C9" s="240"/>
      <c r="D9" s="240"/>
      <c r="E9" s="240"/>
      <c r="F9" s="240"/>
      <c r="G9" s="305"/>
      <c r="H9" s="306"/>
      <c r="I9" s="311"/>
      <c r="J9" s="312"/>
      <c r="K9" s="305"/>
      <c r="L9" s="306"/>
    </row>
    <row r="10" spans="1:12" ht="12.75" customHeight="1" x14ac:dyDescent="0.2">
      <c r="A10" s="240"/>
      <c r="B10" s="240"/>
      <c r="C10" s="240"/>
      <c r="D10" s="240"/>
      <c r="E10" s="240"/>
      <c r="F10" s="240"/>
      <c r="G10" s="240">
        <v>2023</v>
      </c>
      <c r="H10" s="240" t="s">
        <v>10</v>
      </c>
      <c r="I10" s="313">
        <v>2023</v>
      </c>
      <c r="J10" s="313" t="s">
        <v>10</v>
      </c>
      <c r="K10" s="240">
        <v>2023</v>
      </c>
      <c r="L10" s="240" t="s">
        <v>10</v>
      </c>
    </row>
    <row r="11" spans="1:12" ht="11.25" customHeight="1" x14ac:dyDescent="0.2">
      <c r="A11" s="240"/>
      <c r="B11" s="240"/>
      <c r="C11" s="240"/>
      <c r="D11" s="240"/>
      <c r="E11" s="240"/>
      <c r="F11" s="240"/>
      <c r="G11" s="240"/>
      <c r="H11" s="240"/>
      <c r="I11" s="313"/>
      <c r="J11" s="313"/>
      <c r="K11" s="240"/>
      <c r="L11" s="240"/>
    </row>
    <row r="12" spans="1:12" ht="15.75" customHeight="1" x14ac:dyDescent="0.2">
      <c r="A12" s="41">
        <v>1</v>
      </c>
      <c r="B12" s="41">
        <v>2</v>
      </c>
      <c r="C12" s="7">
        <v>3</v>
      </c>
      <c r="D12" s="7">
        <v>4</v>
      </c>
      <c r="E12" s="41">
        <v>5</v>
      </c>
      <c r="F12" s="7">
        <v>6</v>
      </c>
      <c r="G12" s="7">
        <v>14</v>
      </c>
      <c r="H12" s="7">
        <v>15</v>
      </c>
      <c r="I12" s="212">
        <v>14</v>
      </c>
      <c r="J12" s="212">
        <v>15</v>
      </c>
      <c r="K12" s="7">
        <v>14</v>
      </c>
      <c r="L12" s="7">
        <v>15</v>
      </c>
    </row>
    <row r="13" spans="1:12" ht="237.75" customHeight="1" x14ac:dyDescent="0.2">
      <c r="A13" s="269">
        <v>1</v>
      </c>
      <c r="B13" s="320" t="s">
        <v>11</v>
      </c>
      <c r="C13" s="198" t="s">
        <v>238</v>
      </c>
      <c r="D13" s="106" t="s">
        <v>17</v>
      </c>
      <c r="E13" s="323" t="s">
        <v>14</v>
      </c>
      <c r="F13" s="143" t="s">
        <v>15</v>
      </c>
      <c r="G13" s="194">
        <v>5200</v>
      </c>
      <c r="H13" s="193">
        <v>48422.2</v>
      </c>
      <c r="I13" s="211">
        <f>5200-400</f>
        <v>4800</v>
      </c>
      <c r="J13" s="213">
        <v>48022.2</v>
      </c>
      <c r="K13" s="194">
        <f>I13-G13</f>
        <v>-400</v>
      </c>
      <c r="L13" s="193">
        <f>J13-H13</f>
        <v>-400</v>
      </c>
    </row>
    <row r="14" spans="1:12" ht="81" customHeight="1" x14ac:dyDescent="0.2">
      <c r="A14" s="260"/>
      <c r="B14" s="321"/>
      <c r="C14" s="198" t="s">
        <v>45</v>
      </c>
      <c r="D14" s="326" t="s">
        <v>46</v>
      </c>
      <c r="E14" s="324"/>
      <c r="F14" s="329" t="s">
        <v>15</v>
      </c>
      <c r="G14" s="211">
        <f>G16+G17+G18+G19+G20+G21+G22+G23+G24+G25</f>
        <v>8235</v>
      </c>
      <c r="H14" s="211">
        <f t="shared" ref="H14:I14" si="0">H16+H17+H18+H19+H20+H21+H22+H23+H24+H25</f>
        <v>35535</v>
      </c>
      <c r="I14" s="211">
        <f t="shared" si="0"/>
        <v>19500</v>
      </c>
      <c r="J14" s="211">
        <f>J16+J17+J18+J19+J20+J21+J22+J23+J24+J25</f>
        <v>46800</v>
      </c>
      <c r="K14" s="211">
        <f>I14-G14</f>
        <v>11265</v>
      </c>
      <c r="L14" s="213">
        <f>J14-H14</f>
        <v>11265</v>
      </c>
    </row>
    <row r="15" spans="1:12" ht="17.25" customHeight="1" x14ac:dyDescent="0.2">
      <c r="A15" s="260"/>
      <c r="B15" s="321"/>
      <c r="C15" s="198" t="s">
        <v>47</v>
      </c>
      <c r="D15" s="327"/>
      <c r="E15" s="324"/>
      <c r="F15" s="330"/>
      <c r="G15" s="194"/>
      <c r="H15" s="193"/>
      <c r="I15" s="211"/>
      <c r="J15" s="213"/>
      <c r="K15" s="194"/>
      <c r="L15" s="193"/>
    </row>
    <row r="16" spans="1:12" ht="61.5" customHeight="1" x14ac:dyDescent="0.2">
      <c r="A16" s="260"/>
      <c r="B16" s="321"/>
      <c r="C16" s="198" t="s">
        <v>48</v>
      </c>
      <c r="D16" s="327"/>
      <c r="E16" s="324"/>
      <c r="F16" s="330"/>
      <c r="G16" s="194">
        <v>0</v>
      </c>
      <c r="H16" s="193">
        <v>3700</v>
      </c>
      <c r="I16" s="211">
        <v>0</v>
      </c>
      <c r="J16" s="213">
        <v>3700</v>
      </c>
      <c r="K16" s="194">
        <f t="shared" ref="K16:L19" si="1">I16-G16</f>
        <v>0</v>
      </c>
      <c r="L16" s="193">
        <f t="shared" si="1"/>
        <v>0</v>
      </c>
    </row>
    <row r="17" spans="1:13" ht="36" customHeight="1" x14ac:dyDescent="0.2">
      <c r="A17" s="260"/>
      <c r="B17" s="321"/>
      <c r="C17" s="198" t="s">
        <v>49</v>
      </c>
      <c r="D17" s="327"/>
      <c r="E17" s="324"/>
      <c r="F17" s="330"/>
      <c r="G17" s="194">
        <v>3000</v>
      </c>
      <c r="H17" s="193">
        <v>12750</v>
      </c>
      <c r="I17" s="211">
        <v>0</v>
      </c>
      <c r="J17" s="213">
        <v>9750</v>
      </c>
      <c r="K17" s="194">
        <f t="shared" si="1"/>
        <v>-3000</v>
      </c>
      <c r="L17" s="193">
        <f t="shared" si="1"/>
        <v>-3000</v>
      </c>
    </row>
    <row r="18" spans="1:13" ht="42" customHeight="1" x14ac:dyDescent="0.2">
      <c r="A18" s="260"/>
      <c r="B18" s="321"/>
      <c r="C18" s="198" t="s">
        <v>240</v>
      </c>
      <c r="D18" s="327"/>
      <c r="E18" s="324"/>
      <c r="F18" s="330"/>
      <c r="G18" s="194">
        <v>4500</v>
      </c>
      <c r="H18" s="193">
        <v>13175</v>
      </c>
      <c r="I18" s="211">
        <v>6100</v>
      </c>
      <c r="J18" s="213">
        <v>14775</v>
      </c>
      <c r="K18" s="194">
        <f t="shared" si="1"/>
        <v>1600</v>
      </c>
      <c r="L18" s="193">
        <f t="shared" si="1"/>
        <v>1600</v>
      </c>
    </row>
    <row r="19" spans="1:13" ht="30" customHeight="1" x14ac:dyDescent="0.2">
      <c r="A19" s="260"/>
      <c r="B19" s="321"/>
      <c r="C19" s="198" t="s">
        <v>51</v>
      </c>
      <c r="D19" s="327"/>
      <c r="E19" s="324"/>
      <c r="F19" s="330"/>
      <c r="G19" s="194">
        <v>735</v>
      </c>
      <c r="H19" s="193">
        <v>1935</v>
      </c>
      <c r="I19" s="211">
        <v>0</v>
      </c>
      <c r="J19" s="213">
        <v>1200</v>
      </c>
      <c r="K19" s="194">
        <f t="shared" si="1"/>
        <v>-735</v>
      </c>
      <c r="L19" s="193">
        <f t="shared" si="1"/>
        <v>-735</v>
      </c>
    </row>
    <row r="20" spans="1:13" ht="31.5" customHeight="1" x14ac:dyDescent="0.2">
      <c r="A20" s="260"/>
      <c r="B20" s="321"/>
      <c r="C20" s="198" t="s">
        <v>52</v>
      </c>
      <c r="D20" s="327"/>
      <c r="E20" s="324"/>
      <c r="F20" s="330"/>
      <c r="G20" s="194">
        <v>0</v>
      </c>
      <c r="H20" s="193">
        <v>650</v>
      </c>
      <c r="I20" s="211">
        <v>0</v>
      </c>
      <c r="J20" s="213">
        <v>650</v>
      </c>
      <c r="K20" s="194">
        <v>0</v>
      </c>
      <c r="L20" s="193">
        <f t="shared" ref="L20:L25" si="2">SUM(K20:K20)</f>
        <v>0</v>
      </c>
    </row>
    <row r="21" spans="1:13" ht="36.75" customHeight="1" x14ac:dyDescent="0.2">
      <c r="A21" s="260"/>
      <c r="B21" s="321"/>
      <c r="C21" s="198" t="s">
        <v>53</v>
      </c>
      <c r="D21" s="327"/>
      <c r="E21" s="324"/>
      <c r="F21" s="330"/>
      <c r="G21" s="194">
        <v>0</v>
      </c>
      <c r="H21" s="193">
        <v>2875</v>
      </c>
      <c r="I21" s="211">
        <v>0</v>
      </c>
      <c r="J21" s="213">
        <v>2875</v>
      </c>
      <c r="K21" s="194">
        <v>0</v>
      </c>
      <c r="L21" s="193">
        <f t="shared" si="2"/>
        <v>0</v>
      </c>
    </row>
    <row r="22" spans="1:13" ht="39" customHeight="1" x14ac:dyDescent="0.2">
      <c r="A22" s="260"/>
      <c r="B22" s="321"/>
      <c r="C22" s="198" t="s">
        <v>54</v>
      </c>
      <c r="D22" s="327"/>
      <c r="E22" s="324"/>
      <c r="F22" s="330"/>
      <c r="G22" s="193">
        <v>0</v>
      </c>
      <c r="H22" s="193">
        <v>450</v>
      </c>
      <c r="I22" s="213">
        <v>0</v>
      </c>
      <c r="J22" s="213">
        <v>450</v>
      </c>
      <c r="K22" s="193">
        <v>0</v>
      </c>
      <c r="L22" s="193">
        <f t="shared" si="2"/>
        <v>0</v>
      </c>
    </row>
    <row r="23" spans="1:13" ht="45.75" customHeight="1" x14ac:dyDescent="0.2">
      <c r="A23" s="260"/>
      <c r="B23" s="321"/>
      <c r="C23" s="198" t="s">
        <v>239</v>
      </c>
      <c r="D23" s="327"/>
      <c r="E23" s="324"/>
      <c r="F23" s="330"/>
      <c r="G23" s="193">
        <v>0</v>
      </c>
      <c r="H23" s="193">
        <f>SUM(G23:G23)</f>
        <v>0</v>
      </c>
      <c r="I23" s="213">
        <v>6000</v>
      </c>
      <c r="J23" s="213">
        <f>SUM(I23:I23)</f>
        <v>6000</v>
      </c>
      <c r="K23" s="193">
        <v>6000</v>
      </c>
      <c r="L23" s="193">
        <f t="shared" si="2"/>
        <v>6000</v>
      </c>
    </row>
    <row r="24" spans="1:13" ht="47.25" customHeight="1" x14ac:dyDescent="0.2">
      <c r="A24" s="260"/>
      <c r="B24" s="321"/>
      <c r="C24" s="198" t="s">
        <v>235</v>
      </c>
      <c r="D24" s="327"/>
      <c r="E24" s="324"/>
      <c r="F24" s="330"/>
      <c r="G24" s="193">
        <v>0</v>
      </c>
      <c r="H24" s="193">
        <f>SUM(G24:G24)</f>
        <v>0</v>
      </c>
      <c r="I24" s="213">
        <v>5200</v>
      </c>
      <c r="J24" s="213">
        <f>SUM(I24:I24)</f>
        <v>5200</v>
      </c>
      <c r="K24" s="193">
        <v>5200</v>
      </c>
      <c r="L24" s="193">
        <f t="shared" si="2"/>
        <v>5200</v>
      </c>
    </row>
    <row r="25" spans="1:13" ht="37.5" customHeight="1" x14ac:dyDescent="0.2">
      <c r="A25" s="308"/>
      <c r="B25" s="322"/>
      <c r="C25" s="199" t="s">
        <v>236</v>
      </c>
      <c r="D25" s="328"/>
      <c r="E25" s="325"/>
      <c r="F25" s="331"/>
      <c r="G25" s="195">
        <v>0</v>
      </c>
      <c r="H25" s="195">
        <v>0</v>
      </c>
      <c r="I25" s="214">
        <v>2200</v>
      </c>
      <c r="J25" s="214">
        <f>SUM(I25:I25)</f>
        <v>2200</v>
      </c>
      <c r="K25" s="195">
        <v>2200</v>
      </c>
      <c r="L25" s="195">
        <f t="shared" si="2"/>
        <v>2200</v>
      </c>
    </row>
    <row r="26" spans="1:13" ht="27.75" customHeight="1" x14ac:dyDescent="0.2">
      <c r="A26" s="314">
        <v>2</v>
      </c>
      <c r="B26" s="315"/>
      <c r="C26" s="315"/>
      <c r="D26" s="315"/>
      <c r="E26" s="315"/>
      <c r="F26" s="315"/>
      <c r="G26" s="315"/>
      <c r="H26" s="316"/>
    </row>
    <row r="27" spans="1:13" ht="19.5" customHeight="1" x14ac:dyDescent="0.2">
      <c r="A27" s="317" t="s">
        <v>222</v>
      </c>
      <c r="B27" s="318"/>
      <c r="C27" s="318"/>
      <c r="D27" s="318"/>
      <c r="E27" s="318"/>
      <c r="F27" s="318"/>
      <c r="G27" s="318"/>
      <c r="H27" s="319"/>
    </row>
    <row r="28" spans="1:13" ht="30" customHeight="1" x14ac:dyDescent="0.2">
      <c r="A28" s="62">
        <v>1</v>
      </c>
      <c r="B28" s="62">
        <v>2</v>
      </c>
      <c r="C28" s="62">
        <v>3</v>
      </c>
      <c r="D28" s="62">
        <v>4</v>
      </c>
      <c r="E28" s="62">
        <v>5</v>
      </c>
      <c r="F28" s="62">
        <v>6</v>
      </c>
      <c r="G28" s="62">
        <v>14</v>
      </c>
      <c r="H28" s="62">
        <v>15</v>
      </c>
      <c r="I28" s="62">
        <v>14</v>
      </c>
      <c r="J28" s="62">
        <v>15</v>
      </c>
      <c r="K28" s="62">
        <v>14</v>
      </c>
      <c r="L28" s="62">
        <v>15</v>
      </c>
    </row>
    <row r="29" spans="1:13" ht="75" customHeight="1" x14ac:dyDescent="0.2">
      <c r="A29" s="269"/>
      <c r="B29" s="320"/>
      <c r="C29" s="200" t="s">
        <v>247</v>
      </c>
      <c r="D29" s="202" t="s">
        <v>46</v>
      </c>
      <c r="E29" s="323"/>
      <c r="F29" s="203" t="s">
        <v>15</v>
      </c>
      <c r="G29" s="197">
        <v>15000</v>
      </c>
      <c r="H29" s="197">
        <v>30510.2</v>
      </c>
      <c r="I29" s="215">
        <v>28790</v>
      </c>
      <c r="J29" s="215">
        <v>44300.2</v>
      </c>
      <c r="K29" s="193">
        <f>I29-G29</f>
        <v>13790</v>
      </c>
      <c r="L29" s="193">
        <f>J29-H29</f>
        <v>13789.999999999996</v>
      </c>
    </row>
    <row r="30" spans="1:13" ht="91.5" customHeight="1" x14ac:dyDescent="0.2">
      <c r="A30" s="260"/>
      <c r="B30" s="321"/>
      <c r="C30" s="201" t="s">
        <v>237</v>
      </c>
      <c r="D30" s="114" t="s">
        <v>65</v>
      </c>
      <c r="E30" s="324"/>
      <c r="F30" s="204" t="s">
        <v>15</v>
      </c>
      <c r="G30" s="192">
        <v>1500</v>
      </c>
      <c r="H30" s="191">
        <v>4000</v>
      </c>
      <c r="I30" s="216">
        <v>1500</v>
      </c>
      <c r="J30" s="217">
        <v>4000</v>
      </c>
      <c r="K30" s="193">
        <f t="shared" ref="K30:K31" si="3">I30-G30</f>
        <v>0</v>
      </c>
      <c r="L30" s="193">
        <f t="shared" ref="L30:L31" si="4">J30-H30</f>
        <v>0</v>
      </c>
    </row>
    <row r="31" spans="1:13" ht="78.75" customHeight="1" x14ac:dyDescent="0.2">
      <c r="A31" s="308"/>
      <c r="B31" s="322"/>
      <c r="C31" s="201" t="s">
        <v>80</v>
      </c>
      <c r="D31" s="114">
        <v>2023</v>
      </c>
      <c r="E31" s="325"/>
      <c r="F31" s="204" t="s">
        <v>15</v>
      </c>
      <c r="G31" s="191">
        <v>150000</v>
      </c>
      <c r="H31" s="191">
        <f t="shared" ref="H31:H38" si="5">SUM(G31:G31)</f>
        <v>150000</v>
      </c>
      <c r="I31" s="217">
        <v>124945</v>
      </c>
      <c r="J31" s="217">
        <f t="shared" ref="J31:J39" si="6">SUM(I31:I31)</f>
        <v>124945</v>
      </c>
      <c r="K31" s="193">
        <f t="shared" si="3"/>
        <v>-25055</v>
      </c>
      <c r="L31" s="193">
        <f t="shared" si="4"/>
        <v>-25055</v>
      </c>
      <c r="M31" s="12"/>
    </row>
    <row r="32" spans="1:13" ht="71.25" customHeight="1" x14ac:dyDescent="0.2">
      <c r="A32" s="269">
        <v>2</v>
      </c>
      <c r="B32" s="307" t="s">
        <v>82</v>
      </c>
      <c r="C32" s="43" t="s">
        <v>119</v>
      </c>
      <c r="D32" s="109" t="s">
        <v>65</v>
      </c>
      <c r="E32" s="291" t="s">
        <v>241</v>
      </c>
      <c r="F32" s="109" t="s">
        <v>15</v>
      </c>
      <c r="G32" s="11">
        <v>225000</v>
      </c>
      <c r="H32" s="11">
        <v>1160000</v>
      </c>
      <c r="I32" s="218">
        <v>210480</v>
      </c>
      <c r="J32" s="218">
        <v>1145480</v>
      </c>
      <c r="K32" s="11">
        <f>I32-G32</f>
        <v>-14520</v>
      </c>
      <c r="L32" s="11">
        <f>J32-H32</f>
        <v>-14520</v>
      </c>
    </row>
    <row r="33" spans="1:12" ht="67.5" customHeight="1" x14ac:dyDescent="0.2">
      <c r="A33" s="260"/>
      <c r="B33" s="307"/>
      <c r="C33" s="43" t="s">
        <v>156</v>
      </c>
      <c r="D33" s="109">
        <v>2023</v>
      </c>
      <c r="E33" s="291"/>
      <c r="F33" s="109" t="s">
        <v>15</v>
      </c>
      <c r="G33" s="11">
        <v>5000</v>
      </c>
      <c r="H33" s="11">
        <v>10250</v>
      </c>
      <c r="I33" s="218">
        <v>4500</v>
      </c>
      <c r="J33" s="218">
        <v>9750</v>
      </c>
      <c r="K33" s="11">
        <f t="shared" ref="K33" si="7">I33-G33</f>
        <v>-500</v>
      </c>
      <c r="L33" s="11">
        <f t="shared" ref="L33" si="8">J33-H33</f>
        <v>-500</v>
      </c>
    </row>
    <row r="34" spans="1:12" ht="67.5" customHeight="1" x14ac:dyDescent="0.2">
      <c r="A34" s="260"/>
      <c r="B34" s="307"/>
      <c r="C34" s="43" t="s">
        <v>251</v>
      </c>
      <c r="D34" s="109">
        <v>2023</v>
      </c>
      <c r="E34" s="291"/>
      <c r="F34" s="109" t="s">
        <v>15</v>
      </c>
      <c r="G34" s="11">
        <v>0</v>
      </c>
      <c r="H34" s="11">
        <f t="shared" si="5"/>
        <v>0</v>
      </c>
      <c r="I34" s="218">
        <v>400</v>
      </c>
      <c r="J34" s="218">
        <f t="shared" si="6"/>
        <v>400</v>
      </c>
      <c r="K34" s="11">
        <f t="shared" ref="K34:K38" si="9">I34-G34</f>
        <v>400</v>
      </c>
      <c r="L34" s="11">
        <f t="shared" ref="L34:L38" si="10">J34-H34</f>
        <v>400</v>
      </c>
    </row>
    <row r="35" spans="1:12" ht="78.75" customHeight="1" x14ac:dyDescent="0.2">
      <c r="A35" s="260"/>
      <c r="B35" s="307"/>
      <c r="C35" s="43" t="s">
        <v>242</v>
      </c>
      <c r="D35" s="109">
        <v>2023</v>
      </c>
      <c r="E35" s="291"/>
      <c r="F35" s="109" t="s">
        <v>15</v>
      </c>
      <c r="G35" s="11">
        <v>0</v>
      </c>
      <c r="H35" s="11">
        <f t="shared" si="5"/>
        <v>0</v>
      </c>
      <c r="I35" s="11">
        <v>9800</v>
      </c>
      <c r="J35" s="11">
        <f t="shared" si="6"/>
        <v>9800</v>
      </c>
      <c r="K35" s="11">
        <f t="shared" si="9"/>
        <v>9800</v>
      </c>
      <c r="L35" s="11">
        <f t="shared" si="10"/>
        <v>9800</v>
      </c>
    </row>
    <row r="36" spans="1:12" ht="84" customHeight="1" x14ac:dyDescent="0.2">
      <c r="A36" s="260"/>
      <c r="B36" s="307"/>
      <c r="C36" s="43" t="s">
        <v>243</v>
      </c>
      <c r="D36" s="109">
        <v>2023</v>
      </c>
      <c r="E36" s="291"/>
      <c r="F36" s="109" t="s">
        <v>15</v>
      </c>
      <c r="G36" s="11">
        <v>0</v>
      </c>
      <c r="H36" s="11">
        <f t="shared" si="5"/>
        <v>0</v>
      </c>
      <c r="I36" s="11">
        <v>4100</v>
      </c>
      <c r="J36" s="11">
        <f t="shared" si="6"/>
        <v>4100</v>
      </c>
      <c r="K36" s="11">
        <f t="shared" si="9"/>
        <v>4100</v>
      </c>
      <c r="L36" s="11">
        <f t="shared" si="10"/>
        <v>4100</v>
      </c>
    </row>
    <row r="37" spans="1:12" ht="84" customHeight="1" x14ac:dyDescent="0.2">
      <c r="A37" s="260"/>
      <c r="B37" s="268"/>
      <c r="C37" s="205" t="s">
        <v>244</v>
      </c>
      <c r="D37" s="206">
        <v>2023</v>
      </c>
      <c r="E37" s="269"/>
      <c r="F37" s="206" t="s">
        <v>15</v>
      </c>
      <c r="G37" s="188">
        <v>0</v>
      </c>
      <c r="H37" s="188">
        <f t="shared" si="5"/>
        <v>0</v>
      </c>
      <c r="I37" s="188">
        <v>720</v>
      </c>
      <c r="J37" s="188">
        <f t="shared" si="6"/>
        <v>720</v>
      </c>
      <c r="K37" s="11">
        <f t="shared" si="9"/>
        <v>720</v>
      </c>
      <c r="L37" s="11">
        <f t="shared" si="10"/>
        <v>720</v>
      </c>
    </row>
    <row r="38" spans="1:12" ht="155.25" customHeight="1" x14ac:dyDescent="0.2">
      <c r="A38" s="210">
        <v>3</v>
      </c>
      <c r="B38" s="307" t="s">
        <v>185</v>
      </c>
      <c r="C38" s="146" t="s">
        <v>245</v>
      </c>
      <c r="D38" s="109">
        <v>2023</v>
      </c>
      <c r="E38" s="269" t="s">
        <v>246</v>
      </c>
      <c r="F38" s="109" t="s">
        <v>15</v>
      </c>
      <c r="G38" s="208">
        <v>10623.902</v>
      </c>
      <c r="H38" s="209">
        <f t="shared" si="5"/>
        <v>10623.902</v>
      </c>
      <c r="I38" s="208">
        <v>9689.6119999999992</v>
      </c>
      <c r="J38" s="209">
        <f t="shared" si="6"/>
        <v>9689.6119999999992</v>
      </c>
      <c r="K38" s="11">
        <f t="shared" si="9"/>
        <v>-934.29000000000087</v>
      </c>
      <c r="L38" s="11">
        <f t="shared" si="10"/>
        <v>-934.29000000000087</v>
      </c>
    </row>
    <row r="39" spans="1:12" ht="84" customHeight="1" x14ac:dyDescent="0.2">
      <c r="A39" s="210"/>
      <c r="B39" s="307"/>
      <c r="C39" s="146" t="s">
        <v>233</v>
      </c>
      <c r="D39" s="109">
        <v>2023</v>
      </c>
      <c r="E39" s="308"/>
      <c r="F39" s="109" t="s">
        <v>15</v>
      </c>
      <c r="G39" s="208">
        <v>0</v>
      </c>
      <c r="H39" s="209">
        <v>0</v>
      </c>
      <c r="I39" s="208">
        <v>934.28800000000001</v>
      </c>
      <c r="J39" s="209">
        <f t="shared" si="6"/>
        <v>934.28800000000001</v>
      </c>
      <c r="K39" s="208">
        <v>934.28800000000001</v>
      </c>
      <c r="L39" s="209">
        <f t="shared" ref="L39" si="11">SUM(K39:K39)</f>
        <v>934.28800000000001</v>
      </c>
    </row>
    <row r="40" spans="1:12" ht="18" customHeight="1" x14ac:dyDescent="0.25">
      <c r="B40" s="184" t="s">
        <v>115</v>
      </c>
    </row>
    <row r="41" spans="1:12" s="185" customFormat="1" ht="51" customHeight="1" x14ac:dyDescent="0.35">
      <c r="B41" s="272" t="s">
        <v>217</v>
      </c>
      <c r="C41" s="272"/>
      <c r="D41" s="272"/>
      <c r="E41" s="272"/>
      <c r="F41" s="272"/>
      <c r="G41" s="272"/>
      <c r="H41" s="272"/>
    </row>
    <row r="42" spans="1:12" s="185" customFormat="1" hidden="1" x14ac:dyDescent="0.2"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sheetProtection selectLockedCells="1" selectUnlockedCells="1"/>
  <mergeCells count="40">
    <mergeCell ref="G2:H2"/>
    <mergeCell ref="G3:H3"/>
    <mergeCell ref="G4:I4"/>
    <mergeCell ref="A5:H5"/>
    <mergeCell ref="A6:H6"/>
    <mergeCell ref="H10:H11"/>
    <mergeCell ref="A13:A25"/>
    <mergeCell ref="B13:B25"/>
    <mergeCell ref="E13:E25"/>
    <mergeCell ref="D14:D25"/>
    <mergeCell ref="F14:F25"/>
    <mergeCell ref="F8:F11"/>
    <mergeCell ref="G8:H9"/>
    <mergeCell ref="G10:G11"/>
    <mergeCell ref="A8:A11"/>
    <mergeCell ref="B8:B11"/>
    <mergeCell ref="C8:C11"/>
    <mergeCell ref="D8:D11"/>
    <mergeCell ref="E8:E11"/>
    <mergeCell ref="B38:B39"/>
    <mergeCell ref="E38:E39"/>
    <mergeCell ref="B41:H41"/>
    <mergeCell ref="I2:J2"/>
    <mergeCell ref="I3:J3"/>
    <mergeCell ref="I8:J9"/>
    <mergeCell ref="I10:I11"/>
    <mergeCell ref="J10:J11"/>
    <mergeCell ref="A26:H26"/>
    <mergeCell ref="A27:H27"/>
    <mergeCell ref="A29:A31"/>
    <mergeCell ref="B29:B31"/>
    <mergeCell ref="E29:E31"/>
    <mergeCell ref="A32:A37"/>
    <mergeCell ref="B32:B37"/>
    <mergeCell ref="E32:E37"/>
    <mergeCell ref="K2:L2"/>
    <mergeCell ref="K3:L3"/>
    <mergeCell ref="K8:L9"/>
    <mergeCell ref="K10:K11"/>
    <mergeCell ref="L10:L11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5" firstPageNumber="0" fitToHeight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додаток сесія_1901_решение</vt:lpstr>
      <vt:lpstr>станом на 23.02.22</vt:lpstr>
      <vt:lpstr>Зміни</vt:lpstr>
      <vt:lpstr>+-</vt:lpstr>
      <vt:lpstr>'+-'!Область_печати</vt:lpstr>
      <vt:lpstr>'додаток сесія_1901_решение'!Область_печати</vt:lpstr>
      <vt:lpstr>Зміни!Область_печати</vt:lpstr>
      <vt:lpstr>'станом на 23.02.22'!Область_печати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org301</cp:lastModifiedBy>
  <cp:lastPrinted>2023-08-15T13:01:34Z</cp:lastPrinted>
  <dcterms:created xsi:type="dcterms:W3CDTF">2023-01-23T07:10:10Z</dcterms:created>
  <dcterms:modified xsi:type="dcterms:W3CDTF">2023-08-25T11:38:42Z</dcterms:modified>
</cp:coreProperties>
</file>