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340" windowWidth="11340" windowHeight="3750" tabRatio="602"/>
  </bookViews>
  <sheets>
    <sheet name="додаток зі змінами" sheetId="4" r:id="rId1"/>
  </sheets>
  <definedNames>
    <definedName name="_xlnm.Print_Titles" localSheetId="0">'додаток зі змінами'!$10:$10</definedName>
    <definedName name="_xlnm.Print_Area" localSheetId="0">'додаток зі змінами'!$A$1:$F$211</definedName>
  </definedNames>
  <calcPr calcId="144525"/>
</workbook>
</file>

<file path=xl/calcChain.xml><?xml version="1.0" encoding="utf-8"?>
<calcChain xmlns="http://schemas.openxmlformats.org/spreadsheetml/2006/main">
  <c r="E186" i="4" l="1"/>
  <c r="E187" i="4"/>
  <c r="D188" i="4"/>
  <c r="F189" i="4"/>
  <c r="E188" i="4"/>
  <c r="E190" i="4"/>
  <c r="F190" i="4" s="1"/>
  <c r="F188" i="4" l="1"/>
  <c r="E141" i="4" l="1"/>
  <c r="D141" i="4"/>
  <c r="F141" i="4"/>
  <c r="F142" i="4"/>
  <c r="E144" i="4"/>
  <c r="E143" i="4" s="1"/>
  <c r="E32" i="4"/>
  <c r="F32" i="4" s="1"/>
  <c r="D30" i="4"/>
  <c r="D29" i="4" s="1"/>
  <c r="E28" i="4"/>
  <c r="F28" i="4" s="1"/>
  <c r="F25" i="4"/>
  <c r="F24" i="4"/>
  <c r="E23" i="4"/>
  <c r="F23" i="4" s="1"/>
  <c r="E20" i="4"/>
  <c r="F20" i="4" s="1"/>
  <c r="E19" i="4"/>
  <c r="F19" i="4" s="1"/>
  <c r="F17" i="4"/>
  <c r="F16" i="4"/>
  <c r="F15" i="4"/>
  <c r="E14" i="4"/>
  <c r="E13" i="4" s="1"/>
  <c r="D11" i="4"/>
  <c r="D33" i="4" s="1"/>
  <c r="E27" i="4" l="1"/>
  <c r="F27" i="4" s="1"/>
  <c r="F13" i="4"/>
  <c r="F14" i="4"/>
  <c r="E18" i="4"/>
  <c r="F18" i="4" s="1"/>
  <c r="E22" i="4"/>
  <c r="E31" i="4"/>
  <c r="E26" i="4" l="1"/>
  <c r="F26" i="4" s="1"/>
  <c r="F31" i="4"/>
  <c r="E30" i="4"/>
  <c r="F22" i="4"/>
  <c r="E21" i="4"/>
  <c r="F21" i="4" s="1"/>
  <c r="E12" i="4"/>
  <c r="F12" i="4" s="1"/>
  <c r="E29" i="4" l="1"/>
  <c r="F30" i="4"/>
  <c r="E11" i="4" l="1"/>
  <c r="F29" i="4"/>
  <c r="E33" i="4" l="1"/>
  <c r="F33" i="4" s="1"/>
  <c r="F11" i="4"/>
  <c r="D143" i="4" l="1"/>
  <c r="F146" i="4"/>
  <c r="F145" i="4"/>
  <c r="F144" i="4"/>
  <c r="F143" i="4" l="1"/>
  <c r="F121" i="4" l="1"/>
  <c r="E191" i="4" l="1"/>
  <c r="E202" i="4"/>
  <c r="E112" i="4"/>
  <c r="E140" i="4" l="1"/>
  <c r="E45" i="4"/>
  <c r="E50" i="4"/>
  <c r="E96" i="4" l="1"/>
  <c r="F175" i="4" l="1"/>
  <c r="E174" i="4"/>
  <c r="F174" i="4" s="1"/>
  <c r="E173" i="4"/>
  <c r="E198" i="4"/>
  <c r="E63" i="4" l="1"/>
  <c r="E62" i="4" s="1"/>
  <c r="E61" i="4"/>
  <c r="F61" i="4" s="1"/>
  <c r="F63" i="4"/>
  <c r="F198" i="4"/>
  <c r="E201" i="4"/>
  <c r="F201" i="4" s="1"/>
  <c r="D201" i="4"/>
  <c r="E199" i="4"/>
  <c r="E200" i="4"/>
  <c r="F200" i="4" s="1"/>
  <c r="D199" i="4"/>
  <c r="F199" i="4" s="1"/>
  <c r="D194" i="4"/>
  <c r="E193" i="4"/>
  <c r="D192" i="4"/>
  <c r="E179" i="4"/>
  <c r="F179" i="4" s="1"/>
  <c r="E177" i="4"/>
  <c r="F62" i="4" l="1"/>
  <c r="E196" i="4"/>
  <c r="F196" i="4" s="1"/>
  <c r="E178" i="4"/>
  <c r="F178" i="4" s="1"/>
  <c r="F202" i="4"/>
  <c r="E197" i="4"/>
  <c r="E195" i="4" s="1"/>
  <c r="F197" i="4" l="1"/>
  <c r="E194" i="4" l="1"/>
  <c r="F195" i="4"/>
  <c r="F194" i="4" l="1"/>
  <c r="E95" i="4" l="1"/>
  <c r="E171" i="4"/>
  <c r="E169" i="4" s="1"/>
  <c r="F112" i="4"/>
  <c r="E111" i="4"/>
  <c r="E110" i="4"/>
  <c r="E109" i="4" s="1"/>
  <c r="F107" i="4"/>
  <c r="D105" i="4"/>
  <c r="E99" i="4"/>
  <c r="E97" i="4"/>
  <c r="F97" i="4" s="1"/>
  <c r="E106" i="4" l="1"/>
  <c r="E166" i="4"/>
  <c r="E156" i="4"/>
  <c r="F166" i="4"/>
  <c r="E165" i="4"/>
  <c r="F165" i="4" s="1"/>
  <c r="E139" i="4" l="1"/>
  <c r="F139" i="4" s="1"/>
  <c r="E138" i="4"/>
  <c r="E136" i="4"/>
  <c r="E135" i="4" s="1"/>
  <c r="F135" i="4" s="1"/>
  <c r="E134" i="4"/>
  <c r="E132" i="4"/>
  <c r="E130" i="4" s="1"/>
  <c r="F136" i="4" l="1"/>
  <c r="E38" i="4"/>
  <c r="E52" i="4"/>
  <c r="F52" i="4" s="1"/>
  <c r="F51" i="4"/>
  <c r="E49" i="4"/>
  <c r="F49" i="4" s="1"/>
  <c r="F48" i="4"/>
  <c r="E47" i="4"/>
  <c r="F47" i="4" s="1"/>
  <c r="E46" i="4"/>
  <c r="E44" i="4"/>
  <c r="F44" i="4" s="1"/>
  <c r="E42" i="4"/>
  <c r="F43" i="4"/>
  <c r="F42" i="4"/>
  <c r="E40" i="4"/>
  <c r="F41" i="4"/>
  <c r="F39" i="4"/>
  <c r="F46" i="4" l="1"/>
  <c r="E37" i="4"/>
  <c r="F37" i="4" s="1"/>
  <c r="E36" i="4"/>
  <c r="E115" i="4"/>
  <c r="E125" i="4"/>
  <c r="E122" i="4" s="1"/>
  <c r="F124" i="4"/>
  <c r="F122" i="4" l="1"/>
  <c r="E120" i="4"/>
  <c r="F125" i="4"/>
  <c r="F57" i="4"/>
  <c r="F56" i="4"/>
  <c r="E55" i="4"/>
  <c r="F115" i="4"/>
  <c r="E114" i="4"/>
  <c r="F114" i="4" s="1"/>
  <c r="D113" i="4"/>
  <c r="F111" i="4"/>
  <c r="E118" i="4"/>
  <c r="F118" i="4" s="1"/>
  <c r="D116" i="4"/>
  <c r="E164" i="4"/>
  <c r="F164" i="4" s="1"/>
  <c r="E163" i="4" l="1"/>
  <c r="F163" i="4" s="1"/>
  <c r="E117" i="4"/>
  <c r="F117" i="4" s="1"/>
  <c r="E113" i="4"/>
  <c r="E116" i="4"/>
  <c r="F116" i="4" s="1"/>
  <c r="F113" i="4" l="1"/>
  <c r="F156" i="4" l="1"/>
  <c r="E155" i="4"/>
  <c r="E80" i="4"/>
  <c r="E79" i="4"/>
  <c r="F81" i="4"/>
  <c r="F79" i="4"/>
  <c r="E77" i="4"/>
  <c r="E75" i="4" s="1"/>
  <c r="F75" i="4" s="1"/>
  <c r="F77" i="4" l="1"/>
  <c r="F155" i="4"/>
  <c r="F78" i="4"/>
  <c r="F76" i="4"/>
  <c r="F162" i="4" l="1"/>
  <c r="E161" i="4"/>
  <c r="F161" i="4" s="1"/>
  <c r="F160" i="4"/>
  <c r="E159" i="4"/>
  <c r="F159" i="4" s="1"/>
  <c r="F38" i="4"/>
  <c r="E92" i="4"/>
  <c r="E91" i="4"/>
  <c r="E82" i="4"/>
  <c r="F80" i="4"/>
  <c r="E158" i="4"/>
  <c r="E154" i="4" s="1"/>
  <c r="E85" i="4"/>
  <c r="D85" i="4"/>
  <c r="E104" i="4" l="1"/>
  <c r="E101" i="4" s="1"/>
  <c r="F103" i="4"/>
  <c r="D104" i="4"/>
  <c r="F104" i="4" s="1"/>
  <c r="E64" i="4"/>
  <c r="E72" i="4"/>
  <c r="E71" i="4" s="1"/>
  <c r="E67" i="4" l="1"/>
  <c r="E66" i="4" s="1"/>
  <c r="E151" i="4"/>
  <c r="E149" i="4" s="1"/>
  <c r="E127" i="4" s="1"/>
  <c r="E58" i="4"/>
  <c r="D34" i="4"/>
  <c r="D126" i="4"/>
  <c r="D127" i="4"/>
  <c r="F184" i="4"/>
  <c r="E183" i="4"/>
  <c r="E182" i="4" s="1"/>
  <c r="E181" i="4" s="1"/>
  <c r="D182" i="4"/>
  <c r="D180" i="4"/>
  <c r="F92" i="4"/>
  <c r="F91" i="4"/>
  <c r="F72" i="4"/>
  <c r="F71" i="4"/>
  <c r="E70" i="4"/>
  <c r="F70" i="4" s="1"/>
  <c r="D203" i="4" l="1"/>
  <c r="F183" i="4"/>
  <c r="E90" i="4"/>
  <c r="F90" i="4" s="1"/>
  <c r="F182" i="4"/>
  <c r="F181" i="4"/>
  <c r="E180" i="4"/>
  <c r="F180" i="4" s="1"/>
  <c r="E89" i="4" l="1"/>
  <c r="F89" i="4" s="1"/>
  <c r="F98" i="4"/>
  <c r="E88" i="4" l="1"/>
  <c r="F88" i="4" s="1"/>
  <c r="F101" i="4"/>
  <c r="E87" i="4" l="1"/>
  <c r="E100" i="4"/>
  <c r="F100" i="4" s="1"/>
  <c r="F110" i="4"/>
  <c r="F109" i="4"/>
  <c r="D108" i="4"/>
  <c r="E94" i="4" l="1"/>
  <c r="E108" i="4"/>
  <c r="F99" i="4"/>
  <c r="F108" i="4" l="1"/>
  <c r="E192" i="4"/>
  <c r="F177" i="4"/>
  <c r="E170" i="4"/>
  <c r="F96" i="4"/>
  <c r="F106" i="4" l="1"/>
  <c r="E105" i="4"/>
  <c r="E176" i="4"/>
  <c r="F105" i="4" l="1"/>
  <c r="F176" i="4"/>
  <c r="E157" i="4" l="1"/>
  <c r="E153" i="4" s="1"/>
  <c r="E172" i="4"/>
  <c r="E168" i="4" s="1"/>
  <c r="F173" i="4"/>
  <c r="F172" i="4" l="1"/>
  <c r="E84" i="4"/>
  <c r="E83" i="4" s="1"/>
  <c r="E74" i="4" s="1"/>
  <c r="F85" i="4"/>
  <c r="E69" i="4"/>
  <c r="E54" i="4"/>
  <c r="D68" i="4"/>
  <c r="F67" i="4"/>
  <c r="E150" i="4"/>
  <c r="E148" i="4" s="1"/>
  <c r="D147" i="4"/>
  <c r="F151" i="4"/>
  <c r="F58" i="4"/>
  <c r="E137" i="4"/>
  <c r="E133" i="4"/>
  <c r="E209" i="4" l="1"/>
  <c r="E206" i="4" s="1"/>
  <c r="E68" i="4"/>
  <c r="F69" i="4"/>
  <c r="F68" i="4"/>
  <c r="E65" i="4"/>
  <c r="E60" i="4" s="1"/>
  <c r="E131" i="4"/>
  <c r="E129" i="4" s="1"/>
  <c r="F150" i="4"/>
  <c r="F149" i="4"/>
  <c r="E147" i="4" l="1"/>
  <c r="F147" i="4" s="1"/>
  <c r="F148" i="4"/>
  <c r="D206" i="4" l="1"/>
  <c r="F66" i="4"/>
  <c r="F65" i="4"/>
  <c r="F158" i="4" l="1"/>
  <c r="F157" i="4"/>
  <c r="F87" i="4"/>
  <c r="D86" i="4"/>
  <c r="E86" i="4" l="1"/>
  <c r="F86" i="4" l="1"/>
  <c r="F84" i="4" l="1"/>
  <c r="F82" i="4"/>
  <c r="D73" i="4"/>
  <c r="F74" i="4" l="1"/>
  <c r="E73" i="4" l="1"/>
  <c r="F73" i="4" s="1"/>
  <c r="F83" i="4"/>
  <c r="F131" i="4"/>
  <c r="F132" i="4"/>
  <c r="F64" i="4" l="1"/>
  <c r="F45" i="4" l="1"/>
  <c r="F55" i="4" l="1"/>
  <c r="F138" i="4" l="1"/>
  <c r="F50" i="4"/>
  <c r="F137" i="4" l="1"/>
  <c r="D204" i="4"/>
  <c r="F95" i="4" l="1"/>
  <c r="E59" i="4" l="1"/>
  <c r="F60" i="4"/>
  <c r="D59" i="4"/>
  <c r="F59" i="4" l="1"/>
  <c r="F40" i="4"/>
  <c r="D35" i="4" l="1"/>
  <c r="D207" i="4"/>
  <c r="E35" i="4" l="1"/>
  <c r="F36" i="4"/>
  <c r="F35" i="4" l="1"/>
  <c r="D119" i="4" l="1"/>
  <c r="F193" i="4"/>
  <c r="F192" i="4"/>
  <c r="D185" i="4"/>
  <c r="F191" i="4"/>
  <c r="D167" i="4"/>
  <c r="D93" i="4"/>
  <c r="D152" i="4"/>
  <c r="D53" i="4"/>
  <c r="E93" i="4" l="1"/>
  <c r="E152" i="4"/>
  <c r="E53" i="4"/>
  <c r="E167" i="4" l="1"/>
  <c r="E185" i="4"/>
  <c r="E119" i="4" l="1"/>
  <c r="E34" i="4" s="1"/>
  <c r="F140" i="4"/>
  <c r="D128" i="4" l="1"/>
  <c r="E128" i="4" l="1"/>
  <c r="E126" i="4" s="1"/>
  <c r="E203" i="4" s="1"/>
  <c r="F187" i="4"/>
  <c r="F203" i="4" l="1"/>
  <c r="F169" i="4"/>
  <c r="F154" i="4"/>
  <c r="F208" i="4"/>
  <c r="F133" i="4"/>
  <c r="F171" i="4"/>
  <c r="F209" i="4"/>
  <c r="F134" i="4"/>
  <c r="F170" i="4"/>
  <c r="F206" i="4"/>
  <c r="E207" i="4"/>
  <c r="F54" i="4"/>
  <c r="F185" i="4"/>
  <c r="F186" i="4"/>
  <c r="F153" i="4"/>
  <c r="F152" i="4"/>
  <c r="F53" i="4"/>
  <c r="F207" i="4" l="1"/>
  <c r="F130" i="4"/>
  <c r="F93" i="4" l="1"/>
  <c r="F94" i="4"/>
  <c r="F127" i="4"/>
  <c r="F120" i="4"/>
  <c r="F119" i="4"/>
  <c r="F167" i="4"/>
  <c r="F168" i="4"/>
  <c r="F129" i="4" l="1"/>
  <c r="F34" i="4" l="1"/>
  <c r="F128" i="4"/>
  <c r="E204" i="4" l="1"/>
  <c r="F205" i="4"/>
  <c r="F204" i="4" l="1"/>
  <c r="F126" i="4" l="1"/>
</calcChain>
</file>

<file path=xl/sharedStrings.xml><?xml version="1.0" encoding="utf-8"?>
<sst xmlns="http://schemas.openxmlformats.org/spreadsheetml/2006/main" count="352" uniqueCount="217">
  <si>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</si>
  <si>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</si>
  <si>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</si>
  <si>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</si>
  <si>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</si>
  <si>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</si>
  <si>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</si>
  <si>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</si>
  <si>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</si>
  <si>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</si>
  <si>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</si>
  <si>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Управління капітального будівництва виконкому Криворізької міської ради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</si>
  <si>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</si>
  <si>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</si>
  <si>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 xml:space="preserve">Багатопрофільна стаціонарна медична допомога населенню </t>
  </si>
  <si>
    <t>2010</t>
  </si>
  <si>
    <t>у тому числі видатки споживання</t>
  </si>
  <si>
    <t>Управління культури виконкому Криворізької міської ради</t>
  </si>
  <si>
    <t xml:space="preserve">            до рішення виконкому міської ради </t>
  </si>
  <si>
    <t>Видатки та кредитування загального та спеціального фондів разом:</t>
  </si>
  <si>
    <t>Код доходів, код ТПКВКМБ /
ТКВКБМС</t>
  </si>
  <si>
    <t>0600000</t>
  </si>
  <si>
    <t>0610000</t>
  </si>
  <si>
    <t>0611020</t>
  </si>
  <si>
    <t>Інші програми та заходи у сфері освіти</t>
  </si>
  <si>
    <t>1162</t>
  </si>
  <si>
    <t>0611162</t>
  </si>
  <si>
    <t>Утримання та навчально-тренувальна робота комунальних дитячо-юнацьких спортивних шкіл</t>
  </si>
  <si>
    <t>0615031</t>
  </si>
  <si>
    <t>0700000</t>
  </si>
  <si>
    <t>0710000</t>
  </si>
  <si>
    <t>0712010</t>
  </si>
  <si>
    <t>Інгулецької</t>
  </si>
  <si>
    <t>Організація благоустрою населених пунктів</t>
  </si>
  <si>
    <t>7310</t>
  </si>
  <si>
    <t>Будівництво об'єктів житлово-комунального господарства</t>
  </si>
  <si>
    <t xml:space="preserve">             Додаток</t>
  </si>
  <si>
    <t xml:space="preserve">Проект унесення змін до показників міського бюджету на 2019 рік </t>
  </si>
  <si>
    <t xml:space="preserve">Затверджено на 2019 рік 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</si>
  <si>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01.01.2019</t>
  </si>
  <si>
    <t xml:space="preserve"> - дефіцит за рахунок розподілу залишків коштів, що склалися на рахунках спеціального фонду міського бюджету станом на 01.01.2019</t>
  </si>
  <si>
    <t>Уточнені показники на 2019 рік</t>
  </si>
  <si>
    <t>Департамент освіти і науки виконкому Криворізької міської ради</t>
  </si>
  <si>
    <t>Департамент фінансів виконкому Криворізької міської ради</t>
  </si>
  <si>
    <t>0800000</t>
  </si>
  <si>
    <t>0810000</t>
  </si>
  <si>
    <t>Департамент соціальної політики виконкому Криворізької міської ради</t>
  </si>
  <si>
    <t>Департамент розвитку інфраструктури міста виконкому Криворізької міської ради</t>
  </si>
  <si>
    <t>9770</t>
  </si>
  <si>
    <t xml:space="preserve">Інші субвенції з місцевого бюджету, у тому числі: </t>
  </si>
  <si>
    <t>Саксаганської</t>
  </si>
  <si>
    <t>Надання дошкільної освіти</t>
  </si>
  <si>
    <t>0611010</t>
  </si>
  <si>
    <t>1010</t>
  </si>
  <si>
    <t>0611090</t>
  </si>
  <si>
    <t>1090</t>
  </si>
  <si>
    <t>Надання позашкільної освіти позашкільними закладами освіти, заходи із позашкільної роботи з дітьми</t>
  </si>
  <si>
    <t>субвенція з міського бюджету районним у місті бюджетам за рахунок субвенції з обласного бюджету на виконання доручень виборців депутатами обласної ради у 2019 році</t>
  </si>
  <si>
    <t>Покровської</t>
  </si>
  <si>
    <t>Інші заходи, пов'язані з економічною діяльністю</t>
  </si>
  <si>
    <t>7693</t>
  </si>
  <si>
    <t>Інші заходи у сфері соціального захисту і соціального забезпечення</t>
  </si>
  <si>
    <t>3242</t>
  </si>
  <si>
    <t>0813242</t>
  </si>
  <si>
    <t>Доходи загального та спеціального фондів разом:</t>
  </si>
  <si>
    <t>7691</t>
  </si>
  <si>
    <t xml:space="preserve">Керуюча справами виконкому </t>
  </si>
  <si>
    <t>Т.Мала</t>
  </si>
  <si>
    <t>Інші заходи в галузі культури і мистецтва</t>
  </si>
  <si>
    <t>1014082</t>
  </si>
  <si>
    <t>4082</t>
  </si>
  <si>
    <t>1019770</t>
  </si>
  <si>
    <t>Департамент у справах сім'ї, молоді та спорту виконкому Криворізької  міської ради</t>
  </si>
  <si>
    <t>0819770</t>
  </si>
  <si>
    <t>0712152</t>
  </si>
  <si>
    <t>2152</t>
  </si>
  <si>
    <t>Інші програми та заходи у сфері охорони здоров’я</t>
  </si>
  <si>
    <t>Виконання інвестиційних проектів в рамках здійснення заходів щодо соціально-економічного розвитку окремих територій</t>
  </si>
  <si>
    <t>7363</t>
  </si>
  <si>
    <t>0900000</t>
  </si>
  <si>
    <t>0910000</t>
  </si>
  <si>
    <t>Служба у справах дітей виконкому Криворізької міської ради</t>
  </si>
  <si>
    <t>Забезпечення діяльності бібліотек</t>
  </si>
  <si>
    <t>1014030</t>
  </si>
  <si>
    <t>4030</t>
  </si>
  <si>
    <t>1216090</t>
  </si>
  <si>
    <t>6090</t>
  </si>
  <si>
    <t>Інша діяльність у сфері житлово-комунального господарства</t>
  </si>
  <si>
    <t>1217310</t>
  </si>
  <si>
    <t>1217670</t>
  </si>
  <si>
    <t>7670</t>
  </si>
  <si>
    <t>Внески до статутного капіталу суб’єктів господарювання</t>
  </si>
  <si>
    <t>1217693</t>
  </si>
  <si>
    <t>у тому числі за бюджетом Покровської районної в місті ради</t>
  </si>
  <si>
    <t xml:space="preserve">Відділ транспорту і зв'язку виконкому Криворізької міської ради </t>
  </si>
  <si>
    <t>Інші заходи у сфері автотранспорту</t>
  </si>
  <si>
    <t>7413</t>
  </si>
  <si>
    <t>1917413</t>
  </si>
  <si>
    <t>1219770</t>
  </si>
  <si>
    <t>1217640</t>
  </si>
  <si>
    <t>7640</t>
  </si>
  <si>
    <t>Заходи з енергозбереження</t>
  </si>
  <si>
    <t>Доходи загального фонду разом:</t>
  </si>
  <si>
    <t xml:space="preserve">Офіційні трансферти </t>
  </si>
  <si>
    <t>40000000</t>
  </si>
  <si>
    <t>Від органів державного управління</t>
  </si>
  <si>
    <t>41000000</t>
  </si>
  <si>
    <t>Субвенції з державного бюджету місцевим бюджетам</t>
  </si>
  <si>
    <t>41030000</t>
  </si>
  <si>
    <t>Медична субвенція з державного бюджету місцевим бюджетам</t>
  </si>
  <si>
    <t>41034200</t>
  </si>
  <si>
    <t>0919770</t>
  </si>
  <si>
    <t>1119770</t>
  </si>
  <si>
    <t>у тому числі за бюджетами районних у місті рад</t>
  </si>
  <si>
    <t>Інспекція з благоустрою виконкому Криворізької міської ради</t>
  </si>
  <si>
    <t>1417691</t>
  </si>
  <si>
    <t>видатки розвитку</t>
  </si>
  <si>
    <t>4010</t>
  </si>
  <si>
    <t>1014010</t>
  </si>
  <si>
    <t>Фінансова підтримка театрів</t>
  </si>
  <si>
    <t>1014060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</si>
  <si>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</si>
  <si>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</si>
  <si>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1014040</t>
  </si>
  <si>
    <t>4040</t>
  </si>
  <si>
    <t>Забезпечення діяльності музеїв i виставок</t>
  </si>
  <si>
    <t>1011100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</si>
  <si>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</si>
  <si>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</si>
  <si>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у тому числі комунальні послуги та енергоносії</t>
  </si>
  <si>
    <t>Управління з питань надзвичайних ситуацій та цивільного захисту населення виконавчого комітету Криворізької міської ради</t>
  </si>
  <si>
    <t>Заходи з організації рятування на водах</t>
  </si>
  <si>
    <t>2918120</t>
  </si>
  <si>
    <t>8120</t>
  </si>
  <si>
    <t>Інші заходи у сфері електротранспорту</t>
  </si>
  <si>
    <t>7426</t>
  </si>
  <si>
    <t>1917426</t>
  </si>
  <si>
    <t xml:space="preserve">Управління економіки виконкому Криворізької міської ради </t>
  </si>
  <si>
    <t>0712030</t>
  </si>
  <si>
    <t>2030</t>
  </si>
  <si>
    <t>Лікарсько-акушерська допомога  вагітним, породіллям та новонародженим</t>
  </si>
  <si>
    <t>0712100</t>
  </si>
  <si>
    <t>2100</t>
  </si>
  <si>
    <t xml:space="preserve">Стоматологічна допомога населенню </t>
  </si>
  <si>
    <t>3719150</t>
  </si>
  <si>
    <t>9150</t>
  </si>
  <si>
    <t xml:space="preserve">Інші дотації з місцевого бюджету </t>
  </si>
  <si>
    <t>у тому числі за бюджетами районих у місті рад</t>
  </si>
  <si>
    <t>2717630</t>
  </si>
  <si>
    <t>7630</t>
  </si>
  <si>
    <t>Реалізація програм і заходів в галузі зовнішньоекономічної діяльності</t>
  </si>
  <si>
    <t>0611040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</si>
  <si>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</si>
  <si>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</si>
  <si>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0611070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</si>
  <si>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</si>
  <si>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</si>
  <si>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0611150</t>
  </si>
  <si>
    <t>1150</t>
  </si>
  <si>
    <t xml:space="preserve">Методичне забезпечення діяльності навчальних закладів </t>
  </si>
  <si>
    <t>0611161</t>
  </si>
  <si>
    <t>1161</t>
  </si>
  <si>
    <t xml:space="preserve">Забезпечення діяльності інших закладів у сфері освіти </t>
  </si>
  <si>
    <t>5031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</si>
  <si>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</si>
  <si>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</si>
  <si>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 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</si>
  <si>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</si>
  <si>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</si>
  <si>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</si>
  <si>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Місцеві податки </t>
  </si>
  <si>
    <t xml:space="preserve">Єдиний податок </t>
  </si>
  <si>
    <t>Єдиний податок з фізичних осіб</t>
  </si>
  <si>
    <t>Неподаткові надходження</t>
  </si>
  <si>
    <t xml:space="preserve">Державне мито </t>
  </si>
  <si>
    <t>22090100 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</si>
  <si>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 </t>
  </si>
  <si>
    <t>22090400</t>
  </si>
  <si>
    <t>Державне мито, пов'язане з видачею та оформленням закордонних паспортів (посвідок) та паспортів громадян України </t>
  </si>
  <si>
    <t>Інші неподаткові надходження</t>
  </si>
  <si>
    <t xml:space="preserve">Інші надходження </t>
  </si>
  <si>
    <t>Інші надходження</t>
  </si>
  <si>
    <r>
      <t>18050000</t>
    </r>
    <r>
      <rPr>
        <sz val="14"/>
        <color indexed="8"/>
        <rFont val="Times New Roman"/>
        <family val="1"/>
        <charset val="204"/>
      </rPr>
      <t> </t>
    </r>
  </si>
  <si>
    <t>1017363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</si>
  <si>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</si>
  <si>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</si>
  <si>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</si>
  <si>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1517693</t>
  </si>
  <si>
    <t>1517322</t>
  </si>
  <si>
    <t>7322</t>
  </si>
  <si>
    <t>Будівництво медичних установ та закладів</t>
  </si>
  <si>
    <t>1517370</t>
  </si>
  <si>
    <t>7370</t>
  </si>
  <si>
    <t>Реалізація інших заходів щодо соціально-економічного розвитку територій</t>
  </si>
  <si>
    <t>1917670</t>
  </si>
  <si>
    <t>0813241</t>
  </si>
  <si>
    <t>3241</t>
  </si>
  <si>
    <t>0813032</t>
  </si>
  <si>
    <t>3032</t>
  </si>
  <si>
    <t>Надання пільг окремим категоріям громадян з оплати послуг зв'язку</t>
  </si>
  <si>
    <t>Забезпечення діяльності інших закладів у сфері соціального захисту і соціального забезпечення</t>
  </si>
  <si>
    <t>1917450</t>
  </si>
  <si>
    <t>7450</t>
  </si>
  <si>
    <t>Інша діяльність у сфері транспорту</t>
  </si>
  <si>
    <t>3718500</t>
  </si>
  <si>
    <t>8500</t>
  </si>
  <si>
    <t>Нерозподілені трансферти з державного бюджету</t>
  </si>
  <si>
    <t>0617363</t>
  </si>
  <si>
    <t xml:space="preserve">Виконання інвестиційних проектів в рамках здійснення заходів щодо соціально-економічного розвитку окремих територій
</t>
  </si>
  <si>
    <t>з них за рахунок залишку коштів субвенції з державного бюджету місцевим бюджетам на здійснення заходів щодо соціально-економічного розвитку окремих територій станом на 01.01.2019</t>
  </si>
  <si>
    <t>з них за рахунок  коштів субвенції з державного бюджету місцевим бюджетам на здійснення заходів щодо соціально-економічного розвитку окремих територій у 2019 році</t>
  </si>
  <si>
    <t>Адміністративні збори та платежі, доходи від некомерційної господарської діяльності</t>
  </si>
  <si>
    <t>1517310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</si>
  <si>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</si>
  <si>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у тому числі за бюджетом Інгулецької районної у місті ради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</si>
  <si>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</si>
  <si>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16.04.2019 №220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</si>
</sst>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 x14ac:knownFonts="1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0"/>
      <color rgb="FFFF0000"/>
      <name val="Arial Cyr"/>
      <charset val="204"/>
    </font>
    <font>
      <b/>
      <sz val="13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4" fontId="4" fillId="0" borderId="0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26" fillId="0" borderId="0" xfId="0" applyFont="1" applyFill="1"/>
    <xf numFmtId="4" fontId="23" fillId="0" borderId="0" xfId="0" applyNumberFormat="1" applyFont="1" applyFill="1"/>
    <xf numFmtId="4" fontId="9" fillId="0" borderId="0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/>
    <xf numFmtId="4" fontId="28" fillId="2" borderId="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9" fillId="0" borderId="0" xfId="0" applyFont="1"/>
    <xf numFmtId="0" fontId="27" fillId="2" borderId="2" xfId="0" applyFont="1" applyFill="1" applyBorder="1"/>
    <xf numFmtId="0" fontId="5" fillId="4" borderId="10" xfId="0" applyFont="1" applyFill="1" applyBorder="1"/>
    <xf numFmtId="49" fontId="3" fillId="0" borderId="16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5" fillId="2" borderId="17" xfId="0" applyFont="1" applyFill="1" applyBorder="1"/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49" fontId="4" fillId="4" borderId="10" xfId="0" applyNumberFormat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" fontId="5" fillId="4" borderId="7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5" fillId="4" borderId="10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" fontId="3" fillId="4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top" wrapText="1"/>
    </xf>
    <xf numFmtId="4" fontId="24" fillId="5" borderId="0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tabSelected="1" view="pageBreakPreview" zoomScale="89" zoomScaleNormal="93" zoomScaleSheetLayoutView="89" workbookViewId="0">
      <selection activeCell="C4" sqref="C4"/>
    </sheetView>
  </sheetViews>
  <sheetFormatPr defaultRowHeight="12.75" x14ac:dyDescent="0.2"/>
  <cols>
    <col min="1" max="1" width="15.7109375" customWidth="1"/>
    <col min="2" max="2" width="14.140625" customWidth="1"/>
    <col min="3" max="3" width="44.85546875" customWidth="1"/>
    <col min="4" max="4" width="23.42578125" customWidth="1"/>
    <col min="5" max="5" width="19.85546875" customWidth="1"/>
    <col min="6" max="6" width="22.71093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28.5" customHeight="1" x14ac:dyDescent="0.7">
      <c r="A1" s="5"/>
      <c r="B1" s="5"/>
      <c r="C1" s="5"/>
      <c r="D1" s="52" t="s">
        <v>36</v>
      </c>
      <c r="E1" s="51"/>
      <c r="F1" s="34"/>
      <c r="G1" s="20"/>
    </row>
    <row r="2" spans="1:8" ht="25.5" customHeight="1" x14ac:dyDescent="0.65">
      <c r="A2" s="5"/>
      <c r="B2" s="5"/>
      <c r="C2" s="5"/>
      <c r="D2" s="52" t="s">
        <v>18</v>
      </c>
      <c r="E2" s="36"/>
      <c r="F2" s="35"/>
      <c r="G2" s="21"/>
    </row>
    <row r="3" spans="1:8" ht="20.25" customHeight="1" x14ac:dyDescent="0.65">
      <c r="A3" s="5"/>
      <c r="B3" s="5"/>
      <c r="C3" s="5"/>
      <c r="D3" s="52" t="s">
        <v>216</v>
      </c>
      <c r="E3" s="36"/>
      <c r="F3" s="35"/>
      <c r="G3" s="21"/>
    </row>
    <row r="4" spans="1:8" ht="18.75" customHeight="1" x14ac:dyDescent="0.3">
      <c r="A4" s="5"/>
      <c r="B4" s="5"/>
      <c r="C4" s="5"/>
      <c r="D4" s="20"/>
      <c r="E4" s="20"/>
      <c r="F4" s="21"/>
      <c r="G4" s="21"/>
    </row>
    <row r="5" spans="1:8" ht="26.25" customHeight="1" x14ac:dyDescent="0.25">
      <c r="A5" s="153" t="s">
        <v>37</v>
      </c>
      <c r="B5" s="153"/>
      <c r="C5" s="154"/>
      <c r="D5" s="154"/>
      <c r="E5" s="154"/>
      <c r="F5" s="154"/>
      <c r="G5" s="17"/>
      <c r="H5" s="1"/>
    </row>
    <row r="6" spans="1:8" ht="12" customHeight="1" x14ac:dyDescent="0.25">
      <c r="A6" s="16"/>
      <c r="B6" s="16"/>
      <c r="C6" s="17"/>
      <c r="D6" s="17"/>
      <c r="E6" s="17"/>
      <c r="F6" s="17"/>
      <c r="G6" s="17"/>
      <c r="H6" s="1"/>
    </row>
    <row r="7" spans="1:8" ht="15" customHeight="1" thickBot="1" x14ac:dyDescent="0.35">
      <c r="A7" s="5"/>
      <c r="B7" s="5"/>
      <c r="C7" s="5"/>
      <c r="D7" s="6"/>
      <c r="E7" s="6"/>
      <c r="F7" s="4" t="s">
        <v>0</v>
      </c>
      <c r="G7" s="4"/>
    </row>
    <row r="8" spans="1:8" ht="45" customHeight="1" x14ac:dyDescent="0.2">
      <c r="A8" s="157" t="s">
        <v>12</v>
      </c>
      <c r="B8" s="157" t="s">
        <v>20</v>
      </c>
      <c r="C8" s="155" t="s">
        <v>1</v>
      </c>
      <c r="D8" s="155" t="s">
        <v>38</v>
      </c>
      <c r="E8" s="155" t="s">
        <v>3</v>
      </c>
      <c r="F8" s="155" t="s">
        <v>41</v>
      </c>
      <c r="G8" s="32"/>
    </row>
    <row r="9" spans="1:8" ht="66" customHeight="1" thickBot="1" x14ac:dyDescent="0.25">
      <c r="A9" s="158" t="s">
        <v>2</v>
      </c>
      <c r="B9" s="158"/>
      <c r="C9" s="156"/>
      <c r="D9" s="156"/>
      <c r="E9" s="156"/>
      <c r="F9" s="156"/>
      <c r="G9" s="32"/>
    </row>
    <row r="10" spans="1:8" ht="18.75" customHeight="1" thickBot="1" x14ac:dyDescent="0.25">
      <c r="A10" s="18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32"/>
    </row>
    <row r="11" spans="1:8" ht="27.75" customHeight="1" thickBot="1" x14ac:dyDescent="0.35">
      <c r="A11" s="11"/>
      <c r="B11" s="96"/>
      <c r="C11" s="37" t="s">
        <v>102</v>
      </c>
      <c r="D11" s="43">
        <f>7231543911+10413953</f>
        <v>7241957864</v>
      </c>
      <c r="E11" s="43">
        <f>E12+E21+E29</f>
        <v>92267229</v>
      </c>
      <c r="F11" s="43">
        <f t="shared" ref="F11:F32" si="0">D11+E11</f>
        <v>7334225093</v>
      </c>
      <c r="G11" s="32"/>
    </row>
    <row r="12" spans="1:8" ht="27.75" customHeight="1" x14ac:dyDescent="0.3">
      <c r="A12" s="109"/>
      <c r="B12" s="111">
        <v>10000000</v>
      </c>
      <c r="C12" s="117" t="s">
        <v>164</v>
      </c>
      <c r="D12" s="122">
        <v>4642881400</v>
      </c>
      <c r="E12" s="122">
        <f>E13+E18</f>
        <v>91600000</v>
      </c>
      <c r="F12" s="122">
        <f>D12+E12</f>
        <v>4734481400</v>
      </c>
      <c r="G12" s="32"/>
    </row>
    <row r="13" spans="1:8" ht="52.9" customHeight="1" x14ac:dyDescent="0.3">
      <c r="A13" s="97"/>
      <c r="B13" s="112">
        <v>11000000</v>
      </c>
      <c r="C13" s="118" t="s">
        <v>165</v>
      </c>
      <c r="D13" s="123">
        <v>2820314000</v>
      </c>
      <c r="E13" s="123">
        <f>E14</f>
        <v>83600000</v>
      </c>
      <c r="F13" s="123">
        <f>D13+E13</f>
        <v>2903914000</v>
      </c>
      <c r="G13" s="32"/>
    </row>
    <row r="14" spans="1:8" ht="40.9" customHeight="1" x14ac:dyDescent="0.3">
      <c r="A14" s="97"/>
      <c r="B14" s="113">
        <v>11010000</v>
      </c>
      <c r="C14" s="119" t="s">
        <v>166</v>
      </c>
      <c r="D14" s="124">
        <v>2819021000</v>
      </c>
      <c r="E14" s="124">
        <f>SUM(E15:E17)</f>
        <v>83600000</v>
      </c>
      <c r="F14" s="124">
        <f>D14+E14</f>
        <v>2902621000</v>
      </c>
      <c r="G14" s="32"/>
    </row>
    <row r="15" spans="1:8" ht="73.150000000000006" customHeight="1" x14ac:dyDescent="0.3">
      <c r="A15" s="97"/>
      <c r="B15" s="129">
        <v>11010100</v>
      </c>
      <c r="C15" s="130" t="s">
        <v>167</v>
      </c>
      <c r="D15" s="131">
        <v>2665268500</v>
      </c>
      <c r="E15" s="131">
        <v>83600000</v>
      </c>
      <c r="F15" s="131">
        <f t="shared" ref="F15:F25" si="1">D15+E15</f>
        <v>2748868500</v>
      </c>
      <c r="G15" s="32"/>
    </row>
    <row r="16" spans="1:8" ht="72" customHeight="1" x14ac:dyDescent="0.3">
      <c r="A16" s="97"/>
      <c r="B16" s="129">
        <v>11010400</v>
      </c>
      <c r="C16" s="130" t="s">
        <v>168</v>
      </c>
      <c r="D16" s="131">
        <v>50319000</v>
      </c>
      <c r="E16" s="131">
        <v>-8700000</v>
      </c>
      <c r="F16" s="131">
        <f t="shared" si="1"/>
        <v>41619000</v>
      </c>
      <c r="G16" s="32"/>
    </row>
    <row r="17" spans="1:7" ht="55.15" customHeight="1" x14ac:dyDescent="0.3">
      <c r="A17" s="97"/>
      <c r="B17" s="129">
        <v>11010500</v>
      </c>
      <c r="C17" s="132" t="s">
        <v>169</v>
      </c>
      <c r="D17" s="131">
        <v>13977500</v>
      </c>
      <c r="E17" s="131">
        <v>8700000</v>
      </c>
      <c r="F17" s="131">
        <f t="shared" si="1"/>
        <v>22677500</v>
      </c>
      <c r="G17" s="32"/>
    </row>
    <row r="18" spans="1:7" ht="27.75" customHeight="1" x14ac:dyDescent="0.3">
      <c r="A18" s="97"/>
      <c r="B18" s="114">
        <v>18000000</v>
      </c>
      <c r="C18" s="118" t="s">
        <v>170</v>
      </c>
      <c r="D18" s="123">
        <v>1589868200</v>
      </c>
      <c r="E18" s="123">
        <f>E19</f>
        <v>8000000</v>
      </c>
      <c r="F18" s="123">
        <f t="shared" si="1"/>
        <v>1597868200</v>
      </c>
      <c r="G18" s="32"/>
    </row>
    <row r="19" spans="1:7" ht="19.5" x14ac:dyDescent="0.3">
      <c r="A19" s="97"/>
      <c r="B19" s="113" t="s">
        <v>182</v>
      </c>
      <c r="C19" s="79" t="s">
        <v>171</v>
      </c>
      <c r="D19" s="124">
        <v>284800000</v>
      </c>
      <c r="E19" s="124">
        <f>E20</f>
        <v>8000000</v>
      </c>
      <c r="F19" s="124">
        <f t="shared" si="1"/>
        <v>292800000</v>
      </c>
      <c r="G19" s="32"/>
    </row>
    <row r="20" spans="1:7" ht="19.5" x14ac:dyDescent="0.3">
      <c r="A20" s="97"/>
      <c r="B20" s="129">
        <v>18050400</v>
      </c>
      <c r="C20" s="130" t="s">
        <v>172</v>
      </c>
      <c r="D20" s="131">
        <v>245000000</v>
      </c>
      <c r="E20" s="131">
        <f>8650000-650000</f>
        <v>8000000</v>
      </c>
      <c r="F20" s="131">
        <f t="shared" si="1"/>
        <v>253000000</v>
      </c>
      <c r="G20" s="32"/>
    </row>
    <row r="21" spans="1:7" ht="27.75" customHeight="1" x14ac:dyDescent="0.3">
      <c r="A21" s="97"/>
      <c r="B21" s="115">
        <v>20000000</v>
      </c>
      <c r="C21" s="115" t="s">
        <v>173</v>
      </c>
      <c r="D21" s="125">
        <v>53505155</v>
      </c>
      <c r="E21" s="125">
        <f>E22+E26</f>
        <v>667029</v>
      </c>
      <c r="F21" s="125">
        <f t="shared" si="1"/>
        <v>54172184</v>
      </c>
      <c r="G21" s="32"/>
    </row>
    <row r="22" spans="1:7" ht="64.900000000000006" customHeight="1" x14ac:dyDescent="0.3">
      <c r="A22" s="97"/>
      <c r="B22" s="114">
        <v>22000000</v>
      </c>
      <c r="C22" s="118" t="s">
        <v>211</v>
      </c>
      <c r="D22" s="123">
        <v>48800000</v>
      </c>
      <c r="E22" s="123">
        <f>E23</f>
        <v>0</v>
      </c>
      <c r="F22" s="123">
        <f t="shared" si="1"/>
        <v>48800000</v>
      </c>
      <c r="G22" s="32"/>
    </row>
    <row r="23" spans="1:7" ht="19.5" x14ac:dyDescent="0.3">
      <c r="A23" s="97"/>
      <c r="B23" s="113">
        <v>22090000</v>
      </c>
      <c r="C23" s="119" t="s">
        <v>174</v>
      </c>
      <c r="D23" s="124">
        <v>2400000</v>
      </c>
      <c r="E23" s="124">
        <f>E24+E25</f>
        <v>0</v>
      </c>
      <c r="F23" s="124">
        <f t="shared" si="1"/>
        <v>2400000</v>
      </c>
      <c r="G23" s="32"/>
    </row>
    <row r="24" spans="1:7" ht="93.75" x14ac:dyDescent="0.3">
      <c r="A24" s="97"/>
      <c r="B24" s="129" t="s">
        <v>175</v>
      </c>
      <c r="C24" s="130" t="s">
        <v>176</v>
      </c>
      <c r="D24" s="131">
        <v>243000</v>
      </c>
      <c r="E24" s="131">
        <v>1914000</v>
      </c>
      <c r="F24" s="131">
        <f t="shared" si="1"/>
        <v>2157000</v>
      </c>
      <c r="G24" s="32"/>
    </row>
    <row r="25" spans="1:7" ht="75" x14ac:dyDescent="0.3">
      <c r="A25" s="97"/>
      <c r="B25" s="129" t="s">
        <v>177</v>
      </c>
      <c r="C25" s="130" t="s">
        <v>178</v>
      </c>
      <c r="D25" s="131">
        <v>2157000</v>
      </c>
      <c r="E25" s="131">
        <v>-1914000</v>
      </c>
      <c r="F25" s="131">
        <f t="shared" si="1"/>
        <v>243000</v>
      </c>
      <c r="G25" s="32"/>
    </row>
    <row r="26" spans="1:7" ht="27.75" customHeight="1" x14ac:dyDescent="0.3">
      <c r="A26" s="97"/>
      <c r="B26" s="114">
        <v>24000000</v>
      </c>
      <c r="C26" s="118" t="s">
        <v>179</v>
      </c>
      <c r="D26" s="123">
        <v>2355655</v>
      </c>
      <c r="E26" s="123">
        <f>E27</f>
        <v>667029</v>
      </c>
      <c r="F26" s="123">
        <f>D26+E26</f>
        <v>3022684</v>
      </c>
      <c r="G26" s="32"/>
    </row>
    <row r="27" spans="1:7" ht="27.75" customHeight="1" x14ac:dyDescent="0.3">
      <c r="A27" s="97"/>
      <c r="B27" s="113">
        <v>24060000</v>
      </c>
      <c r="C27" s="119" t="s">
        <v>180</v>
      </c>
      <c r="D27" s="124">
        <v>2355655</v>
      </c>
      <c r="E27" s="124">
        <f>E28</f>
        <v>667029</v>
      </c>
      <c r="F27" s="124">
        <f>D27+E27</f>
        <v>3022684</v>
      </c>
      <c r="G27" s="32"/>
    </row>
    <row r="28" spans="1:7" ht="27.75" customHeight="1" x14ac:dyDescent="0.3">
      <c r="A28" s="97"/>
      <c r="B28" s="129">
        <v>24060300</v>
      </c>
      <c r="C28" s="130" t="s">
        <v>181</v>
      </c>
      <c r="D28" s="131">
        <v>2355655</v>
      </c>
      <c r="E28" s="131">
        <f>850000-182971</f>
        <v>667029</v>
      </c>
      <c r="F28" s="131">
        <f>D28+E28</f>
        <v>3022684</v>
      </c>
      <c r="G28" s="32"/>
    </row>
    <row r="29" spans="1:7" ht="19.5" x14ac:dyDescent="0.3">
      <c r="A29" s="99"/>
      <c r="B29" s="90" t="s">
        <v>104</v>
      </c>
      <c r="C29" s="118" t="s">
        <v>103</v>
      </c>
      <c r="D29" s="126">
        <f>D30</f>
        <v>2545381309</v>
      </c>
      <c r="E29" s="126">
        <f>E30</f>
        <v>200</v>
      </c>
      <c r="F29" s="126">
        <f t="shared" si="0"/>
        <v>2545381509</v>
      </c>
      <c r="G29" s="32"/>
    </row>
    <row r="30" spans="1:7" ht="27.75" customHeight="1" x14ac:dyDescent="0.3">
      <c r="A30" s="97"/>
      <c r="B30" s="90" t="s">
        <v>106</v>
      </c>
      <c r="C30" s="118" t="s">
        <v>105</v>
      </c>
      <c r="D30" s="126">
        <f>2534967356+10413953</f>
        <v>2545381309</v>
      </c>
      <c r="E30" s="126">
        <f>E31</f>
        <v>200</v>
      </c>
      <c r="F30" s="126">
        <f t="shared" si="0"/>
        <v>2545381509</v>
      </c>
      <c r="G30" s="32"/>
    </row>
    <row r="31" spans="1:7" ht="39" x14ac:dyDescent="0.3">
      <c r="A31" s="97"/>
      <c r="B31" s="90" t="s">
        <v>108</v>
      </c>
      <c r="C31" s="118" t="s">
        <v>107</v>
      </c>
      <c r="D31" s="126">
        <v>1244336600</v>
      </c>
      <c r="E31" s="126">
        <f>E32</f>
        <v>200</v>
      </c>
      <c r="F31" s="126">
        <f t="shared" si="0"/>
        <v>1244336800</v>
      </c>
      <c r="G31" s="32"/>
    </row>
    <row r="32" spans="1:7" ht="38.25" thickBot="1" x14ac:dyDescent="0.25">
      <c r="A32" s="90"/>
      <c r="B32" s="116" t="s">
        <v>110</v>
      </c>
      <c r="C32" s="120" t="s">
        <v>109</v>
      </c>
      <c r="D32" s="127">
        <v>462870000</v>
      </c>
      <c r="E32" s="47">
        <f>200</f>
        <v>200</v>
      </c>
      <c r="F32" s="47">
        <f t="shared" si="0"/>
        <v>462870200</v>
      </c>
      <c r="G32" s="32"/>
    </row>
    <row r="33" spans="1:14" ht="39" customHeight="1" thickBot="1" x14ac:dyDescent="0.35">
      <c r="A33" s="110"/>
      <c r="B33" s="91"/>
      <c r="C33" s="121" t="s">
        <v>64</v>
      </c>
      <c r="D33" s="92">
        <f>D11+266664913</f>
        <v>7508622777</v>
      </c>
      <c r="E33" s="128">
        <f>E11</f>
        <v>92267229</v>
      </c>
      <c r="F33" s="128">
        <f>D33+E33</f>
        <v>7600890006</v>
      </c>
      <c r="G33" s="32"/>
    </row>
    <row r="34" spans="1:14" ht="42.75" customHeight="1" thickBot="1" x14ac:dyDescent="0.35">
      <c r="A34" s="11"/>
      <c r="B34" s="11"/>
      <c r="C34" s="37" t="s">
        <v>7</v>
      </c>
      <c r="D34" s="50">
        <f>6724007101.16+6888790+621494</f>
        <v>6731517385.1599998</v>
      </c>
      <c r="E34" s="43">
        <f>E35+E53+E59+E68+E73+E86+E93+E105+E108+E113+E116+E119</f>
        <v>62720997</v>
      </c>
      <c r="F34" s="50">
        <f t="shared" ref="F34" si="2">D34+E34</f>
        <v>6794238382.1599998</v>
      </c>
      <c r="G34" s="54"/>
      <c r="H34" s="2"/>
    </row>
    <row r="35" spans="1:14" ht="39" customHeight="1" x14ac:dyDescent="0.2">
      <c r="A35" s="72" t="s">
        <v>21</v>
      </c>
      <c r="B35" s="49"/>
      <c r="C35" s="49" t="s">
        <v>42</v>
      </c>
      <c r="D35" s="30">
        <f>D36</f>
        <v>2368325482.23</v>
      </c>
      <c r="E35" s="30">
        <f>E36</f>
        <v>1124964</v>
      </c>
      <c r="F35" s="30">
        <f t="shared" ref="F35:F40" si="3">D35+E35</f>
        <v>2369450446.23</v>
      </c>
      <c r="G35" s="54"/>
      <c r="H35" s="2"/>
      <c r="I35" s="2"/>
      <c r="J35" s="2"/>
      <c r="K35" s="2"/>
      <c r="L35" s="2"/>
      <c r="M35" s="2"/>
      <c r="N35" s="2"/>
    </row>
    <row r="36" spans="1:14" ht="40.5" customHeight="1" x14ac:dyDescent="0.2">
      <c r="A36" s="72" t="s">
        <v>22</v>
      </c>
      <c r="B36" s="49"/>
      <c r="C36" s="49" t="s">
        <v>42</v>
      </c>
      <c r="D36" s="30">
        <v>2368325482.23</v>
      </c>
      <c r="E36" s="30">
        <f>E38+E40+E42+E44+E45+E47+E48+E50+E51</f>
        <v>1124964</v>
      </c>
      <c r="F36" s="30">
        <f t="shared" si="3"/>
        <v>2369450446.23</v>
      </c>
      <c r="G36" s="54"/>
      <c r="H36" s="2"/>
      <c r="I36" s="2"/>
      <c r="J36" s="2"/>
      <c r="K36" s="2"/>
      <c r="L36" s="2"/>
      <c r="M36" s="2"/>
      <c r="N36" s="2"/>
    </row>
    <row r="37" spans="1:14" ht="34.9" customHeight="1" x14ac:dyDescent="0.2">
      <c r="A37" s="104"/>
      <c r="B37" s="67"/>
      <c r="C37" s="67" t="s">
        <v>129</v>
      </c>
      <c r="D37" s="46">
        <v>237886006</v>
      </c>
      <c r="E37" s="46">
        <f>E39+E41+E43+E46+E49+E52</f>
        <v>-8809847</v>
      </c>
      <c r="F37" s="46">
        <f>D37+E37</f>
        <v>229076159</v>
      </c>
      <c r="G37" s="54"/>
      <c r="H37" s="2"/>
      <c r="I37" s="2"/>
      <c r="J37" s="2"/>
      <c r="K37" s="2"/>
      <c r="L37" s="2"/>
      <c r="M37" s="2"/>
      <c r="N37" s="2"/>
    </row>
    <row r="38" spans="1:14" ht="30" customHeight="1" x14ac:dyDescent="0.2">
      <c r="A38" s="66" t="s">
        <v>52</v>
      </c>
      <c r="B38" s="66" t="s">
        <v>53</v>
      </c>
      <c r="C38" s="78" t="s">
        <v>51</v>
      </c>
      <c r="D38" s="47">
        <v>749615545</v>
      </c>
      <c r="E38" s="45">
        <f>-3353735</f>
        <v>-3353735</v>
      </c>
      <c r="F38" s="45">
        <f t="shared" ref="F38" si="4">D38+E38</f>
        <v>746261810</v>
      </c>
      <c r="G38" s="54"/>
      <c r="H38" s="2"/>
      <c r="I38" s="2"/>
      <c r="J38" s="2"/>
      <c r="K38" s="2"/>
      <c r="L38" s="2"/>
      <c r="M38" s="2"/>
      <c r="N38" s="2"/>
    </row>
    <row r="39" spans="1:14" ht="39.6" customHeight="1" x14ac:dyDescent="0.2">
      <c r="A39" s="108"/>
      <c r="B39" s="100"/>
      <c r="C39" s="100" t="s">
        <v>129</v>
      </c>
      <c r="D39" s="69">
        <v>81408850</v>
      </c>
      <c r="E39" s="69">
        <v>-4334077</v>
      </c>
      <c r="F39" s="69">
        <f>D39+E39</f>
        <v>77074773</v>
      </c>
      <c r="G39" s="54"/>
      <c r="H39" s="2"/>
      <c r="I39" s="2"/>
      <c r="J39" s="2"/>
      <c r="K39" s="2"/>
      <c r="L39" s="2"/>
      <c r="M39" s="2"/>
      <c r="N39" s="2"/>
    </row>
    <row r="40" spans="1:14" ht="115.9" customHeight="1" x14ac:dyDescent="0.2">
      <c r="A40" s="66" t="s">
        <v>23</v>
      </c>
      <c r="B40" s="66">
        <v>1020</v>
      </c>
      <c r="C40" s="78" t="s">
        <v>213</v>
      </c>
      <c r="D40" s="47">
        <v>1235542132.23</v>
      </c>
      <c r="E40" s="45">
        <f>5386058</f>
        <v>5386058</v>
      </c>
      <c r="F40" s="45">
        <f t="shared" si="3"/>
        <v>1240928190.23</v>
      </c>
      <c r="G40" s="7"/>
      <c r="H40" s="7"/>
      <c r="I40" s="2"/>
      <c r="J40" s="2"/>
      <c r="K40" s="2"/>
      <c r="L40" s="2"/>
      <c r="M40" s="2"/>
      <c r="N40" s="2"/>
    </row>
    <row r="41" spans="1:14" ht="33.6" customHeight="1" x14ac:dyDescent="0.2">
      <c r="A41" s="108"/>
      <c r="B41" s="100"/>
      <c r="C41" s="100" t="s">
        <v>129</v>
      </c>
      <c r="D41" s="69">
        <v>115270292</v>
      </c>
      <c r="E41" s="69">
        <v>-4280238</v>
      </c>
      <c r="F41" s="69">
        <f>D41+E41</f>
        <v>110990054</v>
      </c>
      <c r="G41" s="7"/>
      <c r="H41" s="7"/>
      <c r="I41" s="2"/>
      <c r="J41" s="2"/>
      <c r="K41" s="2"/>
      <c r="L41" s="2"/>
      <c r="M41" s="2"/>
      <c r="N41" s="2"/>
    </row>
    <row r="42" spans="1:14" ht="80.45" customHeight="1" x14ac:dyDescent="0.2">
      <c r="A42" s="66" t="s">
        <v>151</v>
      </c>
      <c r="B42" s="66" t="s">
        <v>152</v>
      </c>
      <c r="C42" s="78" t="s">
        <v>153</v>
      </c>
      <c r="D42" s="47">
        <v>57628008</v>
      </c>
      <c r="E42" s="45">
        <f>-1019942</f>
        <v>-1019942</v>
      </c>
      <c r="F42" s="45">
        <f t="shared" ref="F42" si="5">D42+E42</f>
        <v>56608066</v>
      </c>
      <c r="G42" s="7"/>
      <c r="H42" s="7"/>
      <c r="I42" s="2"/>
      <c r="J42" s="2"/>
      <c r="K42" s="2"/>
      <c r="L42" s="2"/>
      <c r="M42" s="2"/>
      <c r="N42" s="2"/>
    </row>
    <row r="43" spans="1:14" ht="33.6" customHeight="1" x14ac:dyDescent="0.2">
      <c r="A43" s="108"/>
      <c r="B43" s="100"/>
      <c r="C43" s="100" t="s">
        <v>129</v>
      </c>
      <c r="D43" s="69">
        <v>6030218</v>
      </c>
      <c r="E43" s="69">
        <v>-19693</v>
      </c>
      <c r="F43" s="69">
        <f>D43+E43</f>
        <v>6010525</v>
      </c>
      <c r="G43" s="7"/>
      <c r="H43" s="7"/>
      <c r="I43" s="2"/>
      <c r="J43" s="2"/>
      <c r="K43" s="2"/>
      <c r="L43" s="2"/>
      <c r="M43" s="2"/>
      <c r="N43" s="2"/>
    </row>
    <row r="44" spans="1:14" ht="132" customHeight="1" x14ac:dyDescent="0.2">
      <c r="A44" s="66" t="s">
        <v>154</v>
      </c>
      <c r="B44" s="66" t="s">
        <v>155</v>
      </c>
      <c r="C44" s="79" t="s">
        <v>156</v>
      </c>
      <c r="D44" s="45">
        <v>12144044</v>
      </c>
      <c r="E44" s="45">
        <f>-7003</f>
        <v>-7003</v>
      </c>
      <c r="F44" s="45">
        <f t="shared" ref="F44" si="6">D44+E44</f>
        <v>12137041</v>
      </c>
      <c r="G44" s="7"/>
      <c r="H44" s="7"/>
      <c r="I44" s="2"/>
      <c r="J44" s="2"/>
      <c r="K44" s="2"/>
      <c r="L44" s="2"/>
      <c r="M44" s="2"/>
      <c r="N44" s="2"/>
    </row>
    <row r="45" spans="1:14" ht="63" customHeight="1" x14ac:dyDescent="0.2">
      <c r="A45" s="66" t="s">
        <v>54</v>
      </c>
      <c r="B45" s="66" t="s">
        <v>55</v>
      </c>
      <c r="C45" s="79" t="s">
        <v>56</v>
      </c>
      <c r="D45" s="45">
        <v>133491710</v>
      </c>
      <c r="E45" s="45">
        <f>1032684-12200+100000+12200</f>
        <v>1132684</v>
      </c>
      <c r="F45" s="45">
        <f t="shared" ref="F45" si="7">D45+E45</f>
        <v>134624394</v>
      </c>
      <c r="G45" s="83"/>
      <c r="H45" s="7"/>
      <c r="I45" s="2"/>
      <c r="J45" s="2"/>
      <c r="K45" s="2"/>
      <c r="L45" s="2"/>
      <c r="M45" s="2"/>
      <c r="N45" s="2"/>
    </row>
    <row r="46" spans="1:14" ht="40.15" customHeight="1" x14ac:dyDescent="0.2">
      <c r="A46" s="108"/>
      <c r="B46" s="100"/>
      <c r="C46" s="100" t="s">
        <v>129</v>
      </c>
      <c r="D46" s="69">
        <v>13395243</v>
      </c>
      <c r="E46" s="69">
        <f>-116032</f>
        <v>-116032</v>
      </c>
      <c r="F46" s="69">
        <f>D46+E46</f>
        <v>13279211</v>
      </c>
      <c r="G46" s="83"/>
      <c r="H46" s="7"/>
      <c r="I46" s="2"/>
      <c r="J46" s="2"/>
      <c r="K46" s="2"/>
      <c r="L46" s="2"/>
      <c r="M46" s="2"/>
      <c r="N46" s="2"/>
    </row>
    <row r="47" spans="1:14" ht="36.6" customHeight="1" x14ac:dyDescent="0.2">
      <c r="A47" s="66" t="s">
        <v>157</v>
      </c>
      <c r="B47" s="66" t="s">
        <v>158</v>
      </c>
      <c r="C47" s="79" t="s">
        <v>159</v>
      </c>
      <c r="D47" s="45">
        <v>12348391</v>
      </c>
      <c r="E47" s="45">
        <f>-100000</f>
        <v>-100000</v>
      </c>
      <c r="F47" s="45">
        <f t="shared" ref="F47:F48" si="8">D47+E47</f>
        <v>12248391</v>
      </c>
      <c r="G47" s="83"/>
      <c r="H47" s="7"/>
      <c r="I47" s="2"/>
      <c r="J47" s="2"/>
      <c r="K47" s="2"/>
      <c r="L47" s="2"/>
      <c r="M47" s="2"/>
      <c r="N47" s="2"/>
    </row>
    <row r="48" spans="1:14" ht="36.6" customHeight="1" x14ac:dyDescent="0.2">
      <c r="A48" s="66" t="s">
        <v>160</v>
      </c>
      <c r="B48" s="66" t="s">
        <v>161</v>
      </c>
      <c r="C48" s="79" t="s">
        <v>162</v>
      </c>
      <c r="D48" s="45">
        <v>42665913</v>
      </c>
      <c r="E48" s="45">
        <v>0</v>
      </c>
      <c r="F48" s="45">
        <f t="shared" si="8"/>
        <v>42665913</v>
      </c>
      <c r="G48" s="83"/>
      <c r="H48" s="7"/>
      <c r="I48" s="2"/>
      <c r="J48" s="2"/>
      <c r="K48" s="2"/>
      <c r="L48" s="2"/>
      <c r="M48" s="2"/>
      <c r="N48" s="2"/>
    </row>
    <row r="49" spans="1:14" ht="36.6" customHeight="1" x14ac:dyDescent="0.2">
      <c r="A49" s="108"/>
      <c r="B49" s="100"/>
      <c r="C49" s="100" t="s">
        <v>129</v>
      </c>
      <c r="D49" s="69">
        <v>1674667</v>
      </c>
      <c r="E49" s="69">
        <f>-17608</f>
        <v>-17608</v>
      </c>
      <c r="F49" s="69">
        <f>D49+E49</f>
        <v>1657059</v>
      </c>
      <c r="G49" s="83"/>
      <c r="H49" s="7"/>
      <c r="I49" s="2"/>
      <c r="J49" s="2"/>
      <c r="K49" s="2"/>
      <c r="L49" s="2"/>
      <c r="M49" s="2"/>
      <c r="N49" s="2"/>
    </row>
    <row r="50" spans="1:14" ht="25.15" customHeight="1" x14ac:dyDescent="0.2">
      <c r="A50" s="66" t="s">
        <v>26</v>
      </c>
      <c r="B50" s="66" t="s">
        <v>25</v>
      </c>
      <c r="C50" s="79" t="s">
        <v>24</v>
      </c>
      <c r="D50" s="45">
        <v>38923419</v>
      </c>
      <c r="E50" s="45">
        <f>-35000-132098-20000-42301-7699-20000-95000-80000-30000-336000-115000</f>
        <v>-913098</v>
      </c>
      <c r="F50" s="45">
        <f t="shared" ref="F50:F51" si="9">D50+E50</f>
        <v>38010321</v>
      </c>
      <c r="G50" s="7"/>
      <c r="H50" s="7"/>
      <c r="I50" s="2"/>
      <c r="J50" s="2"/>
      <c r="K50" s="2"/>
      <c r="L50" s="2"/>
      <c r="M50" s="2"/>
      <c r="N50" s="2"/>
    </row>
    <row r="51" spans="1:14" ht="60.6" customHeight="1" x14ac:dyDescent="0.2">
      <c r="A51" s="66" t="s">
        <v>28</v>
      </c>
      <c r="B51" s="66" t="s">
        <v>163</v>
      </c>
      <c r="C51" s="79" t="s">
        <v>27</v>
      </c>
      <c r="D51" s="45">
        <v>82745200</v>
      </c>
      <c r="E51" s="45">
        <v>0</v>
      </c>
      <c r="F51" s="45">
        <f t="shared" si="9"/>
        <v>82745200</v>
      </c>
      <c r="G51" s="7"/>
      <c r="H51" s="7"/>
      <c r="I51" s="2"/>
      <c r="J51" s="2"/>
      <c r="K51" s="2"/>
      <c r="L51" s="2"/>
      <c r="M51" s="2"/>
      <c r="N51" s="2"/>
    </row>
    <row r="52" spans="1:14" ht="36" customHeight="1" x14ac:dyDescent="0.2">
      <c r="A52" s="108"/>
      <c r="B52" s="100"/>
      <c r="C52" s="100" t="s">
        <v>129</v>
      </c>
      <c r="D52" s="69">
        <v>18748434</v>
      </c>
      <c r="E52" s="69">
        <f>-42199</f>
        <v>-42199</v>
      </c>
      <c r="F52" s="69">
        <f>D52+E52</f>
        <v>18706235</v>
      </c>
      <c r="G52" s="7"/>
      <c r="H52" s="7"/>
      <c r="I52" s="2"/>
      <c r="J52" s="2"/>
      <c r="K52" s="2"/>
      <c r="L52" s="2"/>
      <c r="M52" s="2"/>
      <c r="N52" s="2"/>
    </row>
    <row r="53" spans="1:14" ht="46.15" customHeight="1" x14ac:dyDescent="0.2">
      <c r="A53" s="72" t="s">
        <v>29</v>
      </c>
      <c r="B53" s="49"/>
      <c r="C53" s="49" t="s">
        <v>13</v>
      </c>
      <c r="D53" s="30">
        <f>D54</f>
        <v>777210024.48000002</v>
      </c>
      <c r="E53" s="30">
        <f>E54</f>
        <v>-224133.59999999998</v>
      </c>
      <c r="F53" s="30">
        <f t="shared" ref="F53:F127" si="10">D53+E53</f>
        <v>776985890.88</v>
      </c>
      <c r="G53" s="54"/>
      <c r="H53" s="2"/>
      <c r="I53" s="2"/>
      <c r="J53" s="2"/>
      <c r="K53" s="2"/>
      <c r="L53" s="2"/>
      <c r="M53" s="2"/>
      <c r="N53" s="2"/>
    </row>
    <row r="54" spans="1:14" ht="45.6" customHeight="1" x14ac:dyDescent="0.2">
      <c r="A54" s="72" t="s">
        <v>30</v>
      </c>
      <c r="B54" s="49"/>
      <c r="C54" s="49" t="s">
        <v>13</v>
      </c>
      <c r="D54" s="30">
        <v>777210024.48000002</v>
      </c>
      <c r="E54" s="30">
        <f>SUM(E55:E58)</f>
        <v>-224133.59999999998</v>
      </c>
      <c r="F54" s="30">
        <f t="shared" si="10"/>
        <v>776985890.88</v>
      </c>
      <c r="G54" s="83"/>
      <c r="H54" s="83"/>
      <c r="I54" s="2"/>
      <c r="J54" s="2"/>
      <c r="K54" s="2"/>
      <c r="L54" s="2"/>
      <c r="M54" s="2"/>
      <c r="N54" s="2"/>
    </row>
    <row r="55" spans="1:14" ht="40.15" customHeight="1" x14ac:dyDescent="0.2">
      <c r="A55" s="66" t="s">
        <v>31</v>
      </c>
      <c r="B55" s="66" t="s">
        <v>15</v>
      </c>
      <c r="C55" s="79" t="s">
        <v>14</v>
      </c>
      <c r="D55" s="45">
        <v>556772979.60000002</v>
      </c>
      <c r="E55" s="45">
        <f>200+38366.4+600000</f>
        <v>638566.40000000002</v>
      </c>
      <c r="F55" s="45">
        <f t="shared" si="10"/>
        <v>557411546</v>
      </c>
      <c r="G55" s="82"/>
      <c r="H55" s="82"/>
      <c r="I55" s="81"/>
      <c r="J55" s="2"/>
      <c r="K55" s="2"/>
      <c r="L55" s="2"/>
      <c r="M55" s="2"/>
      <c r="N55" s="2"/>
    </row>
    <row r="56" spans="1:14" ht="60.6" customHeight="1" x14ac:dyDescent="0.2">
      <c r="A56" s="66" t="s">
        <v>138</v>
      </c>
      <c r="B56" s="66" t="s">
        <v>139</v>
      </c>
      <c r="C56" s="79" t="s">
        <v>140</v>
      </c>
      <c r="D56" s="57">
        <v>69174991</v>
      </c>
      <c r="E56" s="57">
        <v>-500000</v>
      </c>
      <c r="F56" s="45">
        <f t="shared" si="10"/>
        <v>68674991</v>
      </c>
      <c r="G56" s="82"/>
      <c r="H56" s="82"/>
      <c r="I56" s="81"/>
      <c r="J56" s="2"/>
      <c r="K56" s="2"/>
      <c r="L56" s="2"/>
      <c r="M56" s="2"/>
      <c r="N56" s="2"/>
    </row>
    <row r="57" spans="1:14" ht="29.45" customHeight="1" x14ac:dyDescent="0.2">
      <c r="A57" s="66" t="s">
        <v>141</v>
      </c>
      <c r="B57" s="66" t="s">
        <v>142</v>
      </c>
      <c r="C57" s="79" t="s">
        <v>143</v>
      </c>
      <c r="D57" s="57">
        <v>35161343</v>
      </c>
      <c r="E57" s="57">
        <v>-100000</v>
      </c>
      <c r="F57" s="45">
        <f t="shared" si="10"/>
        <v>35061343</v>
      </c>
      <c r="G57" s="82"/>
      <c r="H57" s="82"/>
      <c r="I57" s="81"/>
      <c r="J57" s="2"/>
      <c r="K57" s="2"/>
      <c r="L57" s="2"/>
      <c r="M57" s="2"/>
      <c r="N57" s="2"/>
    </row>
    <row r="58" spans="1:14" ht="40.15" customHeight="1" x14ac:dyDescent="0.2">
      <c r="A58" s="66" t="s">
        <v>74</v>
      </c>
      <c r="B58" s="66" t="s">
        <v>75</v>
      </c>
      <c r="C58" s="79" t="s">
        <v>76</v>
      </c>
      <c r="D58" s="57">
        <v>11026800</v>
      </c>
      <c r="E58" s="57">
        <f>-262700</f>
        <v>-262700</v>
      </c>
      <c r="F58" s="45">
        <f t="shared" si="10"/>
        <v>10764100</v>
      </c>
      <c r="G58" s="82"/>
      <c r="H58" s="82"/>
      <c r="I58" s="81"/>
      <c r="J58" s="2"/>
      <c r="K58" s="2"/>
      <c r="L58" s="2"/>
      <c r="M58" s="2"/>
      <c r="N58" s="2"/>
    </row>
    <row r="59" spans="1:14" ht="48.6" customHeight="1" x14ac:dyDescent="0.2">
      <c r="A59" s="72" t="s">
        <v>44</v>
      </c>
      <c r="B59" s="49"/>
      <c r="C59" s="49" t="s">
        <v>46</v>
      </c>
      <c r="D59" s="30">
        <f>D60</f>
        <v>831253202</v>
      </c>
      <c r="E59" s="30">
        <f>E60</f>
        <v>-27000</v>
      </c>
      <c r="F59" s="30">
        <f t="shared" ref="F59:F62" si="11">D59+E59</f>
        <v>831226202</v>
      </c>
      <c r="G59" s="54"/>
      <c r="H59" s="2"/>
      <c r="I59" s="2"/>
      <c r="J59" s="2"/>
      <c r="K59" s="2"/>
      <c r="L59" s="2"/>
      <c r="M59" s="2"/>
      <c r="N59" s="2"/>
    </row>
    <row r="60" spans="1:14" ht="48.6" customHeight="1" x14ac:dyDescent="0.2">
      <c r="A60" s="72" t="s">
        <v>45</v>
      </c>
      <c r="B60" s="49"/>
      <c r="C60" s="49" t="s">
        <v>46</v>
      </c>
      <c r="D60" s="30">
        <v>831253202</v>
      </c>
      <c r="E60" s="30">
        <f>E61+E62+E64+E65</f>
        <v>-27000</v>
      </c>
      <c r="F60" s="30">
        <f t="shared" si="11"/>
        <v>831226202</v>
      </c>
      <c r="G60" s="83"/>
      <c r="H60" s="2"/>
      <c r="I60" s="2"/>
      <c r="J60" s="2"/>
      <c r="K60" s="2"/>
      <c r="L60" s="2"/>
      <c r="M60" s="2"/>
      <c r="N60" s="2"/>
    </row>
    <row r="61" spans="1:14" ht="39.6" customHeight="1" x14ac:dyDescent="0.2">
      <c r="A61" s="66" t="s">
        <v>197</v>
      </c>
      <c r="B61" s="66" t="s">
        <v>198</v>
      </c>
      <c r="C61" s="79" t="s">
        <v>199</v>
      </c>
      <c r="D61" s="45">
        <v>762886</v>
      </c>
      <c r="E61" s="45">
        <f>50000</f>
        <v>50000</v>
      </c>
      <c r="F61" s="45">
        <f t="shared" ref="F61" si="12">D61+E61</f>
        <v>812886</v>
      </c>
      <c r="G61" s="83"/>
      <c r="H61" s="2"/>
      <c r="I61" s="2"/>
      <c r="J61" s="2"/>
      <c r="K61" s="2"/>
      <c r="L61" s="2"/>
      <c r="M61" s="2"/>
      <c r="N61" s="2"/>
    </row>
    <row r="62" spans="1:14" ht="55.15" customHeight="1" x14ac:dyDescent="0.2">
      <c r="A62" s="66" t="s">
        <v>195</v>
      </c>
      <c r="B62" s="66" t="s">
        <v>196</v>
      </c>
      <c r="C62" s="79" t="s">
        <v>200</v>
      </c>
      <c r="D62" s="45">
        <v>11987407</v>
      </c>
      <c r="E62" s="45">
        <f>E63</f>
        <v>-50000</v>
      </c>
      <c r="F62" s="45">
        <f t="shared" si="11"/>
        <v>11937407</v>
      </c>
      <c r="G62" s="83"/>
      <c r="H62" s="2"/>
      <c r="I62" s="2"/>
      <c r="J62" s="2"/>
      <c r="K62" s="2"/>
      <c r="L62" s="2"/>
      <c r="M62" s="2"/>
      <c r="N62" s="2"/>
    </row>
    <row r="63" spans="1:14" ht="40.9" customHeight="1" x14ac:dyDescent="0.2">
      <c r="A63" s="108"/>
      <c r="B63" s="100"/>
      <c r="C63" s="100" t="s">
        <v>129</v>
      </c>
      <c r="D63" s="69">
        <v>2252388</v>
      </c>
      <c r="E63" s="69">
        <f>-50000</f>
        <v>-50000</v>
      </c>
      <c r="F63" s="69">
        <f>D63+E63</f>
        <v>2202388</v>
      </c>
      <c r="G63" s="83"/>
      <c r="H63" s="2"/>
      <c r="I63" s="2"/>
      <c r="J63" s="2"/>
      <c r="K63" s="2"/>
      <c r="L63" s="2"/>
      <c r="M63" s="2"/>
      <c r="N63" s="2"/>
    </row>
    <row r="64" spans="1:14" ht="37.5" x14ac:dyDescent="0.2">
      <c r="A64" s="66" t="s">
        <v>63</v>
      </c>
      <c r="B64" s="66" t="s">
        <v>62</v>
      </c>
      <c r="C64" s="79" t="s">
        <v>61</v>
      </c>
      <c r="D64" s="45">
        <v>102958806</v>
      </c>
      <c r="E64" s="45">
        <f>-30000-17000-10000</f>
        <v>-57000</v>
      </c>
      <c r="F64" s="45">
        <f t="shared" ref="F64:F69" si="13">D64+E64</f>
        <v>102901806</v>
      </c>
      <c r="G64" s="83"/>
      <c r="H64" s="2"/>
      <c r="I64" s="2"/>
      <c r="J64" s="2"/>
      <c r="K64" s="2"/>
      <c r="L64" s="2"/>
      <c r="M64" s="2"/>
      <c r="N64" s="2"/>
    </row>
    <row r="65" spans="1:14" ht="37.5" x14ac:dyDescent="0.2">
      <c r="A65" s="66" t="s">
        <v>73</v>
      </c>
      <c r="B65" s="66" t="s">
        <v>48</v>
      </c>
      <c r="C65" s="79" t="s">
        <v>49</v>
      </c>
      <c r="D65" s="45">
        <v>289672</v>
      </c>
      <c r="E65" s="45">
        <f>E66</f>
        <v>30000</v>
      </c>
      <c r="F65" s="45">
        <f t="shared" si="13"/>
        <v>319672</v>
      </c>
      <c r="G65" s="83"/>
      <c r="H65" s="2"/>
      <c r="I65" s="2"/>
      <c r="J65" s="2"/>
      <c r="K65" s="2"/>
      <c r="L65" s="2"/>
      <c r="M65" s="2"/>
      <c r="N65" s="2"/>
    </row>
    <row r="66" spans="1:14" ht="112.5" x14ac:dyDescent="0.2">
      <c r="A66" s="66"/>
      <c r="B66" s="66"/>
      <c r="C66" s="80" t="s">
        <v>57</v>
      </c>
      <c r="D66" s="55">
        <v>32000</v>
      </c>
      <c r="E66" s="55">
        <f>E67</f>
        <v>30000</v>
      </c>
      <c r="F66" s="55">
        <f t="shared" si="13"/>
        <v>62000</v>
      </c>
      <c r="G66" s="83"/>
      <c r="H66" s="2"/>
      <c r="I66" s="2"/>
      <c r="J66" s="2"/>
      <c r="K66" s="2"/>
      <c r="L66" s="2"/>
      <c r="M66" s="2"/>
      <c r="N66" s="2"/>
    </row>
    <row r="67" spans="1:14" ht="40.9" customHeight="1" x14ac:dyDescent="0.2">
      <c r="A67" s="70"/>
      <c r="B67" s="98"/>
      <c r="C67" s="80" t="s">
        <v>214</v>
      </c>
      <c r="D67" s="55">
        <v>0</v>
      </c>
      <c r="E67" s="55">
        <f>30000</f>
        <v>30000</v>
      </c>
      <c r="F67" s="55">
        <f t="shared" si="13"/>
        <v>30000</v>
      </c>
      <c r="G67" s="83"/>
      <c r="H67" s="2"/>
      <c r="I67" s="2"/>
      <c r="J67" s="2"/>
      <c r="K67" s="2"/>
      <c r="L67" s="2"/>
      <c r="M67" s="2"/>
      <c r="N67" s="2"/>
    </row>
    <row r="68" spans="1:14" ht="40.9" customHeight="1" x14ac:dyDescent="0.2">
      <c r="A68" s="72" t="s">
        <v>79</v>
      </c>
      <c r="B68" s="49"/>
      <c r="C68" s="49" t="s">
        <v>81</v>
      </c>
      <c r="D68" s="30">
        <f>D69</f>
        <v>15874700</v>
      </c>
      <c r="E68" s="30">
        <f>E69</f>
        <v>10000</v>
      </c>
      <c r="F68" s="30">
        <f t="shared" si="13"/>
        <v>15884700</v>
      </c>
      <c r="G68" s="83"/>
      <c r="H68" s="2"/>
      <c r="I68" s="2"/>
      <c r="J68" s="2"/>
      <c r="K68" s="2"/>
      <c r="L68" s="2"/>
      <c r="M68" s="2"/>
      <c r="N68" s="2"/>
    </row>
    <row r="69" spans="1:14" ht="40.9" customHeight="1" x14ac:dyDescent="0.2">
      <c r="A69" s="72" t="s">
        <v>80</v>
      </c>
      <c r="B69" s="49"/>
      <c r="C69" s="49" t="s">
        <v>81</v>
      </c>
      <c r="D69" s="30">
        <v>15874700</v>
      </c>
      <c r="E69" s="30">
        <f>E70</f>
        <v>10000</v>
      </c>
      <c r="F69" s="30">
        <f t="shared" si="13"/>
        <v>15884700</v>
      </c>
      <c r="G69" s="83"/>
      <c r="H69" s="2"/>
      <c r="I69" s="2"/>
      <c r="J69" s="2"/>
      <c r="K69" s="2"/>
      <c r="L69" s="2"/>
      <c r="M69" s="2"/>
      <c r="N69" s="2"/>
    </row>
    <row r="70" spans="1:14" ht="42" customHeight="1" x14ac:dyDescent="0.2">
      <c r="A70" s="66" t="s">
        <v>111</v>
      </c>
      <c r="B70" s="66" t="s">
        <v>48</v>
      </c>
      <c r="C70" s="79" t="s">
        <v>49</v>
      </c>
      <c r="D70" s="45">
        <v>0</v>
      </c>
      <c r="E70" s="45">
        <f>E71</f>
        <v>10000</v>
      </c>
      <c r="F70" s="45">
        <f t="shared" ref="F70:F72" si="14">D70+E70</f>
        <v>10000</v>
      </c>
      <c r="G70" s="83"/>
      <c r="H70" s="2"/>
      <c r="I70" s="2"/>
      <c r="J70" s="2"/>
      <c r="K70" s="2"/>
      <c r="L70" s="2"/>
      <c r="M70" s="2"/>
      <c r="N70" s="2"/>
    </row>
    <row r="71" spans="1:14" ht="108" customHeight="1" x14ac:dyDescent="0.2">
      <c r="A71" s="66"/>
      <c r="B71" s="66"/>
      <c r="C71" s="80" t="s">
        <v>57</v>
      </c>
      <c r="D71" s="55">
        <v>0</v>
      </c>
      <c r="E71" s="55">
        <f>E72</f>
        <v>10000</v>
      </c>
      <c r="F71" s="55">
        <f t="shared" si="14"/>
        <v>10000</v>
      </c>
      <c r="G71" s="83"/>
      <c r="H71" s="2"/>
      <c r="I71" s="2"/>
      <c r="J71" s="2"/>
      <c r="K71" s="2"/>
      <c r="L71" s="2"/>
      <c r="M71" s="2"/>
      <c r="N71" s="2"/>
    </row>
    <row r="72" spans="1:14" ht="42" customHeight="1" x14ac:dyDescent="0.2">
      <c r="A72" s="70"/>
      <c r="B72" s="98"/>
      <c r="C72" s="80" t="s">
        <v>93</v>
      </c>
      <c r="D72" s="55">
        <v>0</v>
      </c>
      <c r="E72" s="55">
        <f>10000</f>
        <v>10000</v>
      </c>
      <c r="F72" s="55">
        <f t="shared" si="14"/>
        <v>10000</v>
      </c>
      <c r="G72" s="83"/>
      <c r="H72" s="2"/>
      <c r="I72" s="2"/>
      <c r="J72" s="2"/>
      <c r="K72" s="2"/>
      <c r="L72" s="2"/>
      <c r="M72" s="2"/>
      <c r="N72" s="2"/>
    </row>
    <row r="73" spans="1:14" ht="42" customHeight="1" x14ac:dyDescent="0.2">
      <c r="A73" s="74">
        <v>1000000</v>
      </c>
      <c r="B73" s="49"/>
      <c r="C73" s="49" t="s">
        <v>17</v>
      </c>
      <c r="D73" s="30">
        <f>D74</f>
        <v>238159860</v>
      </c>
      <c r="E73" s="30">
        <f>E74</f>
        <v>-650000</v>
      </c>
      <c r="F73" s="30">
        <f t="shared" ref="F73:F82" si="15">D73+E73</f>
        <v>237509860</v>
      </c>
      <c r="G73" s="83"/>
      <c r="H73" s="2"/>
      <c r="I73" s="2"/>
      <c r="J73" s="2"/>
      <c r="K73" s="2"/>
      <c r="L73" s="2"/>
      <c r="M73" s="2"/>
      <c r="N73" s="2"/>
    </row>
    <row r="74" spans="1:14" ht="47.45" customHeight="1" x14ac:dyDescent="0.2">
      <c r="A74" s="74">
        <v>1010000</v>
      </c>
      <c r="B74" s="49"/>
      <c r="C74" s="49" t="s">
        <v>17</v>
      </c>
      <c r="D74" s="30">
        <v>238159860</v>
      </c>
      <c r="E74" s="30">
        <f>E76+E78+E80+E82+E83</f>
        <v>-650000</v>
      </c>
      <c r="F74" s="30">
        <f t="shared" si="15"/>
        <v>237509860</v>
      </c>
      <c r="G74" s="83"/>
      <c r="H74" s="2"/>
      <c r="I74" s="2"/>
      <c r="J74" s="2"/>
      <c r="K74" s="2"/>
      <c r="L74" s="2"/>
      <c r="M74" s="2"/>
      <c r="N74" s="2"/>
    </row>
    <row r="75" spans="1:14" ht="40.9" customHeight="1" x14ac:dyDescent="0.2">
      <c r="A75" s="104"/>
      <c r="B75" s="67"/>
      <c r="C75" s="67" t="s">
        <v>129</v>
      </c>
      <c r="D75" s="46">
        <v>15171384</v>
      </c>
      <c r="E75" s="46">
        <f>E77+E79+E81</f>
        <v>-600000</v>
      </c>
      <c r="F75" s="46">
        <f>D75+E75</f>
        <v>14571384</v>
      </c>
      <c r="G75" s="105"/>
      <c r="H75" s="2"/>
      <c r="I75" s="2"/>
      <c r="J75" s="2"/>
      <c r="K75" s="2"/>
      <c r="L75" s="2"/>
      <c r="M75" s="2"/>
      <c r="N75" s="2"/>
    </row>
    <row r="76" spans="1:14" ht="78" customHeight="1" x14ac:dyDescent="0.2">
      <c r="A76" s="66" t="s">
        <v>126</v>
      </c>
      <c r="B76" s="66" t="s">
        <v>127</v>
      </c>
      <c r="C76" s="79" t="s">
        <v>128</v>
      </c>
      <c r="D76" s="57">
        <v>106355700</v>
      </c>
      <c r="E76" s="57">
        <v>-215000</v>
      </c>
      <c r="F76" s="45">
        <f t="shared" si="15"/>
        <v>106140700</v>
      </c>
      <c r="G76" s="83"/>
      <c r="H76" s="2"/>
      <c r="I76" s="2"/>
      <c r="J76" s="2"/>
      <c r="K76" s="2"/>
      <c r="L76" s="2"/>
      <c r="M76" s="2"/>
      <c r="N76" s="2"/>
    </row>
    <row r="77" spans="1:14" ht="33.6" customHeight="1" x14ac:dyDescent="0.2">
      <c r="A77" s="70"/>
      <c r="B77" s="70"/>
      <c r="C77" s="48" t="s">
        <v>129</v>
      </c>
      <c r="D77" s="103">
        <v>3644676</v>
      </c>
      <c r="E77" s="103">
        <f>-215000</f>
        <v>-215000</v>
      </c>
      <c r="F77" s="103">
        <f>D77+E77</f>
        <v>3429676</v>
      </c>
      <c r="G77" s="83"/>
      <c r="H77" s="2"/>
      <c r="I77" s="2"/>
      <c r="J77" s="2"/>
      <c r="K77" s="2"/>
      <c r="L77" s="2"/>
      <c r="M77" s="2"/>
      <c r="N77" s="2"/>
    </row>
    <row r="78" spans="1:14" ht="41.45" customHeight="1" x14ac:dyDescent="0.2">
      <c r="A78" s="66" t="s">
        <v>123</v>
      </c>
      <c r="B78" s="66" t="s">
        <v>124</v>
      </c>
      <c r="C78" s="79" t="s">
        <v>125</v>
      </c>
      <c r="D78" s="57">
        <v>5131040</v>
      </c>
      <c r="E78" s="57">
        <v>-75000</v>
      </c>
      <c r="F78" s="45">
        <f t="shared" si="15"/>
        <v>5056040</v>
      </c>
      <c r="G78" s="83"/>
      <c r="H78" s="2"/>
      <c r="I78" s="2"/>
      <c r="J78" s="2"/>
      <c r="K78" s="2"/>
      <c r="L78" s="2"/>
      <c r="M78" s="2"/>
      <c r="N78" s="2"/>
    </row>
    <row r="79" spans="1:14" ht="34.15" customHeight="1" x14ac:dyDescent="0.2">
      <c r="A79" s="70"/>
      <c r="B79" s="70"/>
      <c r="C79" s="48" t="s">
        <v>129</v>
      </c>
      <c r="D79" s="103">
        <v>506309</v>
      </c>
      <c r="E79" s="103">
        <f>-75000</f>
        <v>-75000</v>
      </c>
      <c r="F79" s="103">
        <f>D79+E79</f>
        <v>431309</v>
      </c>
      <c r="G79" s="83"/>
      <c r="H79" s="2"/>
      <c r="I79" s="2"/>
      <c r="J79" s="2"/>
      <c r="K79" s="2"/>
      <c r="L79" s="2"/>
      <c r="M79" s="2"/>
      <c r="N79" s="2"/>
    </row>
    <row r="80" spans="1:14" ht="57" customHeight="1" x14ac:dyDescent="0.2">
      <c r="A80" s="66" t="s">
        <v>120</v>
      </c>
      <c r="B80" s="66" t="s">
        <v>121</v>
      </c>
      <c r="C80" s="79" t="s">
        <v>122</v>
      </c>
      <c r="D80" s="57">
        <v>42171872</v>
      </c>
      <c r="E80" s="57">
        <f>-288000</f>
        <v>-288000</v>
      </c>
      <c r="F80" s="45">
        <f t="shared" ref="F80" si="16">D80+E80</f>
        <v>41883872</v>
      </c>
      <c r="G80" s="83"/>
      <c r="H80" s="2"/>
      <c r="I80" s="2"/>
      <c r="J80" s="2"/>
      <c r="K80" s="2"/>
      <c r="L80" s="2"/>
      <c r="M80" s="2"/>
      <c r="N80" s="2"/>
    </row>
    <row r="81" spans="1:14" ht="36" customHeight="1" x14ac:dyDescent="0.2">
      <c r="A81" s="70"/>
      <c r="B81" s="70"/>
      <c r="C81" s="48" t="s">
        <v>129</v>
      </c>
      <c r="D81" s="103">
        <v>8020584</v>
      </c>
      <c r="E81" s="103">
        <v>-310000</v>
      </c>
      <c r="F81" s="103">
        <f>D81+E81</f>
        <v>7710584</v>
      </c>
      <c r="G81" s="83"/>
      <c r="H81" s="2"/>
      <c r="I81" s="2"/>
      <c r="J81" s="2"/>
      <c r="K81" s="2"/>
      <c r="L81" s="2"/>
      <c r="M81" s="2"/>
      <c r="N81" s="2"/>
    </row>
    <row r="82" spans="1:14" ht="37.5" x14ac:dyDescent="0.2">
      <c r="A82" s="66" t="s">
        <v>69</v>
      </c>
      <c r="B82" s="66" t="s">
        <v>70</v>
      </c>
      <c r="C82" s="79" t="s">
        <v>68</v>
      </c>
      <c r="D82" s="57">
        <v>6362610</v>
      </c>
      <c r="E82" s="57">
        <f>-63000-50000-22000</f>
        <v>-135000</v>
      </c>
      <c r="F82" s="45">
        <f t="shared" si="15"/>
        <v>6227610</v>
      </c>
      <c r="G82" s="83"/>
      <c r="H82" s="2"/>
      <c r="I82" s="2"/>
      <c r="J82" s="2"/>
      <c r="K82" s="2"/>
      <c r="L82" s="2"/>
      <c r="M82" s="2"/>
      <c r="N82" s="2"/>
    </row>
    <row r="83" spans="1:14" ht="37.5" x14ac:dyDescent="0.2">
      <c r="A83" s="66" t="s">
        <v>71</v>
      </c>
      <c r="B83" s="66" t="s">
        <v>48</v>
      </c>
      <c r="C83" s="79" t="s">
        <v>49</v>
      </c>
      <c r="D83" s="45">
        <v>121000</v>
      </c>
      <c r="E83" s="45">
        <f>E84</f>
        <v>63000</v>
      </c>
      <c r="F83" s="45">
        <f t="shared" ref="F83:F84" si="17">D83+E83</f>
        <v>184000</v>
      </c>
      <c r="G83" s="83"/>
      <c r="H83" s="2"/>
      <c r="I83" s="2"/>
      <c r="J83" s="2"/>
      <c r="K83" s="2"/>
      <c r="L83" s="2"/>
      <c r="M83" s="2"/>
      <c r="N83" s="2"/>
    </row>
    <row r="84" spans="1:14" ht="106.9" customHeight="1" x14ac:dyDescent="0.2">
      <c r="A84" s="66"/>
      <c r="B84" s="66"/>
      <c r="C84" s="80" t="s">
        <v>57</v>
      </c>
      <c r="D84" s="55">
        <v>121000</v>
      </c>
      <c r="E84" s="55">
        <f>E85</f>
        <v>63000</v>
      </c>
      <c r="F84" s="55">
        <f t="shared" si="17"/>
        <v>184000</v>
      </c>
      <c r="G84" s="83"/>
      <c r="H84" s="2"/>
      <c r="I84" s="2"/>
      <c r="J84" s="2"/>
      <c r="K84" s="2"/>
      <c r="L84" s="2"/>
      <c r="M84" s="2"/>
      <c r="N84" s="2"/>
    </row>
    <row r="85" spans="1:14" ht="41.45" customHeight="1" x14ac:dyDescent="0.2">
      <c r="A85" s="66"/>
      <c r="B85" s="77"/>
      <c r="C85" s="80" t="s">
        <v>93</v>
      </c>
      <c r="D85" s="55">
        <f>121000</f>
        <v>121000</v>
      </c>
      <c r="E85" s="55">
        <f>38000+25000</f>
        <v>63000</v>
      </c>
      <c r="F85" s="55">
        <f t="shared" ref="F85:F89" si="18">D85+E85</f>
        <v>184000</v>
      </c>
      <c r="G85" s="83"/>
      <c r="H85" s="2"/>
      <c r="I85" s="2"/>
      <c r="J85" s="2"/>
      <c r="K85" s="2"/>
      <c r="L85" s="2"/>
      <c r="M85" s="2"/>
      <c r="N85" s="2"/>
    </row>
    <row r="86" spans="1:14" ht="58.5" x14ac:dyDescent="0.2">
      <c r="A86" s="74">
        <v>1100000</v>
      </c>
      <c r="B86" s="49"/>
      <c r="C86" s="49" t="s">
        <v>72</v>
      </c>
      <c r="D86" s="30">
        <f>D87</f>
        <v>13284601</v>
      </c>
      <c r="E86" s="30">
        <f>E87</f>
        <v>52000</v>
      </c>
      <c r="F86" s="30">
        <f t="shared" si="18"/>
        <v>13336601</v>
      </c>
      <c r="G86" s="83"/>
      <c r="H86" s="2"/>
      <c r="I86" s="2"/>
      <c r="J86" s="2"/>
      <c r="K86" s="2"/>
      <c r="L86" s="2"/>
      <c r="M86" s="2"/>
      <c r="N86" s="2"/>
    </row>
    <row r="87" spans="1:14" ht="58.5" x14ac:dyDescent="0.2">
      <c r="A87" s="74">
        <v>1110000</v>
      </c>
      <c r="B87" s="49"/>
      <c r="C87" s="49" t="s">
        <v>72</v>
      </c>
      <c r="D87" s="30">
        <v>13284601</v>
      </c>
      <c r="E87" s="30">
        <f>E88</f>
        <v>52000</v>
      </c>
      <c r="F87" s="30">
        <f t="shared" si="18"/>
        <v>13336601</v>
      </c>
      <c r="G87" s="83"/>
      <c r="H87" s="2"/>
      <c r="I87" s="2"/>
      <c r="J87" s="2"/>
      <c r="K87" s="2"/>
      <c r="L87" s="2"/>
      <c r="M87" s="2"/>
      <c r="N87" s="2"/>
    </row>
    <row r="88" spans="1:14" ht="45" customHeight="1" x14ac:dyDescent="0.2">
      <c r="A88" s="66" t="s">
        <v>112</v>
      </c>
      <c r="B88" s="66" t="s">
        <v>48</v>
      </c>
      <c r="C88" s="79" t="s">
        <v>49</v>
      </c>
      <c r="D88" s="45">
        <v>0</v>
      </c>
      <c r="E88" s="45">
        <f>E89</f>
        <v>52000</v>
      </c>
      <c r="F88" s="45">
        <f t="shared" si="18"/>
        <v>52000</v>
      </c>
      <c r="G88" s="83"/>
      <c r="H88" s="2"/>
      <c r="I88" s="2"/>
      <c r="J88" s="2"/>
      <c r="K88" s="2"/>
      <c r="L88" s="2"/>
      <c r="M88" s="2"/>
      <c r="N88" s="2"/>
    </row>
    <row r="89" spans="1:14" ht="112.15" customHeight="1" x14ac:dyDescent="0.2">
      <c r="A89" s="66"/>
      <c r="B89" s="66"/>
      <c r="C89" s="80" t="s">
        <v>57</v>
      </c>
      <c r="D89" s="55">
        <v>0</v>
      </c>
      <c r="E89" s="55">
        <f>E90</f>
        <v>52000</v>
      </c>
      <c r="F89" s="55">
        <f t="shared" si="18"/>
        <v>52000</v>
      </c>
      <c r="G89" s="83"/>
      <c r="H89" s="2"/>
      <c r="I89" s="2"/>
      <c r="J89" s="2"/>
      <c r="K89" s="2"/>
      <c r="L89" s="2"/>
      <c r="M89" s="2"/>
      <c r="N89" s="2"/>
    </row>
    <row r="90" spans="1:14" ht="37.15" customHeight="1" x14ac:dyDescent="0.2">
      <c r="A90" s="66"/>
      <c r="B90" s="66"/>
      <c r="C90" s="48" t="s">
        <v>113</v>
      </c>
      <c r="D90" s="45">
        <v>0</v>
      </c>
      <c r="E90" s="45">
        <f>E91+E92</f>
        <v>52000</v>
      </c>
      <c r="F90" s="55">
        <f t="shared" ref="F90:F92" si="19">D90+E90</f>
        <v>52000</v>
      </c>
      <c r="G90" s="83"/>
      <c r="H90" s="2"/>
      <c r="I90" s="2"/>
      <c r="J90" s="2"/>
      <c r="K90" s="2"/>
      <c r="L90" s="2"/>
      <c r="M90" s="2"/>
      <c r="N90" s="2"/>
    </row>
    <row r="91" spans="1:14" ht="22.9" customHeight="1" x14ac:dyDescent="0.2">
      <c r="A91" s="66"/>
      <c r="B91" s="66"/>
      <c r="C91" s="80" t="s">
        <v>58</v>
      </c>
      <c r="D91" s="55">
        <v>0</v>
      </c>
      <c r="E91" s="55">
        <f>7000+15000</f>
        <v>22000</v>
      </c>
      <c r="F91" s="55">
        <f t="shared" si="19"/>
        <v>22000</v>
      </c>
      <c r="G91" s="83"/>
      <c r="H91" s="2"/>
      <c r="I91" s="2"/>
      <c r="J91" s="2"/>
      <c r="K91" s="2"/>
      <c r="L91" s="2"/>
      <c r="M91" s="2"/>
      <c r="N91" s="2"/>
    </row>
    <row r="92" spans="1:14" ht="27" customHeight="1" x14ac:dyDescent="0.2">
      <c r="A92" s="66"/>
      <c r="B92" s="66"/>
      <c r="C92" s="80" t="s">
        <v>32</v>
      </c>
      <c r="D92" s="55">
        <v>0</v>
      </c>
      <c r="E92" s="55">
        <f>10000+20000</f>
        <v>30000</v>
      </c>
      <c r="F92" s="55">
        <f t="shared" si="19"/>
        <v>30000</v>
      </c>
      <c r="G92" s="83"/>
      <c r="H92" s="2"/>
      <c r="I92" s="2"/>
      <c r="J92" s="2"/>
      <c r="K92" s="2"/>
      <c r="L92" s="2"/>
      <c r="M92" s="2"/>
      <c r="N92" s="2"/>
    </row>
    <row r="93" spans="1:14" ht="55.5" customHeight="1" x14ac:dyDescent="0.2">
      <c r="A93" s="74">
        <v>1200000</v>
      </c>
      <c r="B93" s="49"/>
      <c r="C93" s="49" t="s">
        <v>47</v>
      </c>
      <c r="D93" s="30">
        <f>D94</f>
        <v>650682043</v>
      </c>
      <c r="E93" s="30">
        <f>E94</f>
        <v>49962039.600000001</v>
      </c>
      <c r="F93" s="30">
        <f t="shared" si="10"/>
        <v>700644082.60000002</v>
      </c>
      <c r="G93" s="54"/>
      <c r="H93" s="2"/>
      <c r="I93" s="2"/>
      <c r="J93" s="2"/>
      <c r="K93" s="2"/>
      <c r="L93" s="2"/>
      <c r="M93" s="2"/>
      <c r="N93" s="2"/>
    </row>
    <row r="94" spans="1:14" ht="59.45" customHeight="1" x14ac:dyDescent="0.2">
      <c r="A94" s="74">
        <v>1210000</v>
      </c>
      <c r="B94" s="49"/>
      <c r="C94" s="49" t="s">
        <v>47</v>
      </c>
      <c r="D94" s="30">
        <v>650682043</v>
      </c>
      <c r="E94" s="30">
        <f>SUM(E95:E100)</f>
        <v>49962039.600000001</v>
      </c>
      <c r="F94" s="30">
        <f t="shared" si="10"/>
        <v>700644082.60000002</v>
      </c>
      <c r="G94" s="83"/>
      <c r="H94" s="2"/>
      <c r="I94" s="81"/>
      <c r="J94" s="2"/>
      <c r="K94" s="2"/>
      <c r="L94" s="2"/>
      <c r="M94" s="2"/>
      <c r="N94" s="2"/>
    </row>
    <row r="95" spans="1:14" ht="42.6" customHeight="1" x14ac:dyDescent="0.2">
      <c r="A95" s="66">
        <v>1216030</v>
      </c>
      <c r="B95" s="66">
        <v>6030</v>
      </c>
      <c r="C95" s="79" t="s">
        <v>33</v>
      </c>
      <c r="D95" s="45">
        <v>247860632</v>
      </c>
      <c r="E95" s="45">
        <f>-1169175.4</f>
        <v>-1169175.3999999999</v>
      </c>
      <c r="F95" s="45">
        <f>D95+E95</f>
        <v>246691456.59999999</v>
      </c>
      <c r="G95" s="54"/>
      <c r="H95" s="2"/>
      <c r="I95" s="2"/>
      <c r="J95" s="2"/>
      <c r="K95" s="2"/>
      <c r="L95" s="2"/>
      <c r="M95" s="2"/>
      <c r="N95" s="2"/>
    </row>
    <row r="96" spans="1:14" ht="37.5" x14ac:dyDescent="0.2">
      <c r="A96" s="66" t="s">
        <v>85</v>
      </c>
      <c r="B96" s="66" t="s">
        <v>86</v>
      </c>
      <c r="C96" s="79" t="s">
        <v>87</v>
      </c>
      <c r="D96" s="45">
        <v>26875270</v>
      </c>
      <c r="E96" s="45">
        <f>-13000+1000000-483000</f>
        <v>504000</v>
      </c>
      <c r="F96" s="45">
        <f>D96+E96</f>
        <v>27379270</v>
      </c>
      <c r="G96" s="54"/>
      <c r="H96" s="2"/>
      <c r="I96" s="2"/>
      <c r="J96" s="2"/>
      <c r="K96" s="2"/>
      <c r="L96" s="2"/>
      <c r="M96" s="2"/>
      <c r="N96" s="2"/>
    </row>
    <row r="97" spans="1:14" ht="75" x14ac:dyDescent="0.2">
      <c r="A97" s="66" t="s">
        <v>184</v>
      </c>
      <c r="B97" s="66" t="s">
        <v>185</v>
      </c>
      <c r="C97" s="79" t="s">
        <v>186</v>
      </c>
      <c r="D97" s="45">
        <v>315576431</v>
      </c>
      <c r="E97" s="45">
        <f>50000000</f>
        <v>50000000</v>
      </c>
      <c r="F97" s="45">
        <f>D97+E97</f>
        <v>365576431</v>
      </c>
      <c r="G97" s="54"/>
      <c r="H97" s="2"/>
      <c r="I97" s="2"/>
      <c r="J97" s="2"/>
      <c r="K97" s="2"/>
      <c r="L97" s="2"/>
      <c r="M97" s="2"/>
      <c r="N97" s="2"/>
    </row>
    <row r="98" spans="1:14" ht="25.15" customHeight="1" x14ac:dyDescent="0.2">
      <c r="A98" s="66" t="s">
        <v>99</v>
      </c>
      <c r="B98" s="66" t="s">
        <v>100</v>
      </c>
      <c r="C98" s="79" t="s">
        <v>101</v>
      </c>
      <c r="D98" s="45">
        <v>7084000</v>
      </c>
      <c r="E98" s="45">
        <v>483000</v>
      </c>
      <c r="F98" s="45">
        <f>D98+E98</f>
        <v>7567000</v>
      </c>
      <c r="G98" s="54"/>
      <c r="H98" s="2"/>
      <c r="I98" s="2"/>
      <c r="J98" s="2"/>
      <c r="K98" s="2"/>
      <c r="L98" s="2"/>
      <c r="M98" s="2"/>
      <c r="N98" s="2"/>
    </row>
    <row r="99" spans="1:14" ht="37.5" x14ac:dyDescent="0.2">
      <c r="A99" s="66" t="s">
        <v>92</v>
      </c>
      <c r="B99" s="66" t="s">
        <v>60</v>
      </c>
      <c r="C99" s="79" t="s">
        <v>59</v>
      </c>
      <c r="D99" s="45">
        <v>960000</v>
      </c>
      <c r="E99" s="45">
        <f>131215</f>
        <v>131215</v>
      </c>
      <c r="F99" s="45">
        <f>D99+E99</f>
        <v>1091215</v>
      </c>
      <c r="G99" s="54"/>
      <c r="H99" s="2"/>
      <c r="I99" s="2"/>
      <c r="J99" s="2"/>
      <c r="K99" s="2"/>
      <c r="L99" s="2"/>
      <c r="M99" s="2"/>
      <c r="N99" s="2"/>
    </row>
    <row r="100" spans="1:14" ht="37.5" x14ac:dyDescent="0.2">
      <c r="A100" s="66" t="s">
        <v>98</v>
      </c>
      <c r="B100" s="66" t="s">
        <v>48</v>
      </c>
      <c r="C100" s="79" t="s">
        <v>49</v>
      </c>
      <c r="D100" s="45">
        <v>1923520</v>
      </c>
      <c r="E100" s="45">
        <f>E101</f>
        <v>13000</v>
      </c>
      <c r="F100" s="45">
        <f t="shared" ref="F100:F107" si="20">D100+E100</f>
        <v>1936520</v>
      </c>
      <c r="G100" s="54"/>
      <c r="H100" s="2"/>
      <c r="I100" s="2"/>
      <c r="J100" s="2"/>
      <c r="K100" s="2"/>
      <c r="L100" s="2"/>
      <c r="M100" s="2"/>
      <c r="N100" s="2"/>
    </row>
    <row r="101" spans="1:14" ht="112.5" x14ac:dyDescent="0.2">
      <c r="A101" s="66"/>
      <c r="B101" s="66"/>
      <c r="C101" s="80" t="s">
        <v>57</v>
      </c>
      <c r="D101" s="55">
        <v>1135400</v>
      </c>
      <c r="E101" s="55">
        <f>SUM(E103:E104)</f>
        <v>13000</v>
      </c>
      <c r="F101" s="55">
        <f t="shared" si="20"/>
        <v>1148400</v>
      </c>
      <c r="G101" s="54"/>
      <c r="H101" s="2"/>
      <c r="I101" s="2"/>
      <c r="J101" s="2"/>
      <c r="K101" s="2"/>
      <c r="L101" s="2"/>
      <c r="M101" s="2"/>
      <c r="N101" s="2"/>
    </row>
    <row r="102" spans="1:14" ht="37.15" customHeight="1" x14ac:dyDescent="0.2">
      <c r="A102" s="66"/>
      <c r="B102" s="66"/>
      <c r="C102" s="48" t="s">
        <v>113</v>
      </c>
      <c r="D102" s="45"/>
      <c r="E102" s="45"/>
      <c r="F102" s="55"/>
      <c r="G102" s="54"/>
      <c r="H102" s="2"/>
      <c r="I102" s="2"/>
      <c r="J102" s="2"/>
      <c r="K102" s="2"/>
      <c r="L102" s="2"/>
      <c r="M102" s="2"/>
      <c r="N102" s="2"/>
    </row>
    <row r="103" spans="1:14" ht="21.6" customHeight="1" x14ac:dyDescent="0.2">
      <c r="A103" s="66"/>
      <c r="B103" s="66"/>
      <c r="C103" s="80" t="s">
        <v>58</v>
      </c>
      <c r="D103" s="69">
        <v>0</v>
      </c>
      <c r="E103" s="69">
        <v>5000</v>
      </c>
      <c r="F103" s="55">
        <f t="shared" si="20"/>
        <v>5000</v>
      </c>
      <c r="G103" s="54"/>
      <c r="H103" s="2"/>
      <c r="I103" s="2"/>
      <c r="J103" s="2"/>
      <c r="K103" s="2"/>
      <c r="L103" s="2"/>
      <c r="M103" s="2"/>
      <c r="N103" s="2"/>
    </row>
    <row r="104" spans="1:14" ht="19.149999999999999" customHeight="1" x14ac:dyDescent="0.2">
      <c r="A104" s="66"/>
      <c r="B104" s="66"/>
      <c r="C104" s="100" t="s">
        <v>50</v>
      </c>
      <c r="D104" s="69">
        <f>520400</f>
        <v>520400</v>
      </c>
      <c r="E104" s="69">
        <f>8000</f>
        <v>8000</v>
      </c>
      <c r="F104" s="55">
        <f t="shared" si="20"/>
        <v>528400</v>
      </c>
      <c r="G104" s="54"/>
      <c r="H104" s="2"/>
      <c r="I104" s="2"/>
      <c r="J104" s="2"/>
      <c r="K104" s="2"/>
      <c r="L104" s="2"/>
      <c r="M104" s="2"/>
      <c r="N104" s="2"/>
    </row>
    <row r="105" spans="1:14" ht="59.45" customHeight="1" x14ac:dyDescent="0.2">
      <c r="A105" s="74">
        <v>1500000</v>
      </c>
      <c r="B105" s="49"/>
      <c r="C105" s="49" t="s">
        <v>11</v>
      </c>
      <c r="D105" s="30">
        <f>D106</f>
        <v>4160330</v>
      </c>
      <c r="E105" s="30">
        <f>E106</f>
        <v>600880</v>
      </c>
      <c r="F105" s="30">
        <f t="shared" si="20"/>
        <v>4761210</v>
      </c>
      <c r="G105" s="54"/>
      <c r="H105" s="2"/>
      <c r="I105" s="2"/>
      <c r="J105" s="2"/>
      <c r="K105" s="2"/>
      <c r="L105" s="2"/>
      <c r="M105" s="2"/>
      <c r="N105" s="2"/>
    </row>
    <row r="106" spans="1:14" ht="63.6" customHeight="1" x14ac:dyDescent="0.2">
      <c r="A106" s="74">
        <v>1510000</v>
      </c>
      <c r="B106" s="49"/>
      <c r="C106" s="49" t="s">
        <v>11</v>
      </c>
      <c r="D106" s="30">
        <v>4160330</v>
      </c>
      <c r="E106" s="30">
        <f>E107</f>
        <v>600880</v>
      </c>
      <c r="F106" s="30">
        <f t="shared" si="20"/>
        <v>4761210</v>
      </c>
      <c r="G106" s="54"/>
      <c r="H106" s="2"/>
      <c r="I106" s="2"/>
      <c r="J106" s="2"/>
      <c r="K106" s="2"/>
      <c r="L106" s="2"/>
      <c r="M106" s="2"/>
      <c r="N106" s="2"/>
    </row>
    <row r="107" spans="1:14" ht="37.9" customHeight="1" x14ac:dyDescent="0.2">
      <c r="A107" s="66" t="s">
        <v>187</v>
      </c>
      <c r="B107" s="66" t="s">
        <v>60</v>
      </c>
      <c r="C107" s="79" t="s">
        <v>59</v>
      </c>
      <c r="D107" s="45">
        <v>4000000</v>
      </c>
      <c r="E107" s="45">
        <v>600880</v>
      </c>
      <c r="F107" s="45">
        <f t="shared" si="20"/>
        <v>4600880</v>
      </c>
      <c r="G107" s="54"/>
      <c r="H107" s="2"/>
      <c r="I107" s="2"/>
      <c r="J107" s="2"/>
      <c r="K107" s="2"/>
      <c r="L107" s="2"/>
      <c r="M107" s="2"/>
      <c r="N107" s="2"/>
    </row>
    <row r="108" spans="1:14" ht="36.6" customHeight="1" x14ac:dyDescent="0.2">
      <c r="A108" s="74">
        <v>1900000</v>
      </c>
      <c r="B108" s="27"/>
      <c r="C108" s="49" t="s">
        <v>94</v>
      </c>
      <c r="D108" s="30">
        <f>D109</f>
        <v>296719000</v>
      </c>
      <c r="E108" s="30">
        <f>E109</f>
        <v>12851280</v>
      </c>
      <c r="F108" s="30">
        <f t="shared" ref="F108:F115" si="21">D108+E108</f>
        <v>309570280</v>
      </c>
      <c r="G108" s="54"/>
      <c r="H108" s="2"/>
      <c r="I108" s="2"/>
      <c r="J108" s="2"/>
      <c r="K108" s="2"/>
      <c r="L108" s="2"/>
      <c r="M108" s="2"/>
      <c r="N108" s="2"/>
    </row>
    <row r="109" spans="1:14" ht="58.5" x14ac:dyDescent="0.2">
      <c r="A109" s="74">
        <v>1910000</v>
      </c>
      <c r="B109" s="49"/>
      <c r="C109" s="49" t="s">
        <v>94</v>
      </c>
      <c r="D109" s="30">
        <v>296719000</v>
      </c>
      <c r="E109" s="30">
        <f>SUM(E110:E112)</f>
        <v>12851280</v>
      </c>
      <c r="F109" s="30">
        <f t="shared" si="21"/>
        <v>309570280</v>
      </c>
      <c r="G109" s="54"/>
      <c r="H109" s="2"/>
      <c r="I109" s="2"/>
      <c r="J109" s="2"/>
      <c r="K109" s="2"/>
      <c r="L109" s="2"/>
      <c r="M109" s="2"/>
      <c r="N109" s="2"/>
    </row>
    <row r="110" spans="1:14" ht="28.9" customHeight="1" x14ac:dyDescent="0.2">
      <c r="A110" s="66" t="s">
        <v>97</v>
      </c>
      <c r="B110" s="66" t="s">
        <v>96</v>
      </c>
      <c r="C110" s="79" t="s">
        <v>95</v>
      </c>
      <c r="D110" s="45">
        <v>20099000</v>
      </c>
      <c r="E110" s="45">
        <f>8650000</f>
        <v>8650000</v>
      </c>
      <c r="F110" s="45">
        <f t="shared" si="21"/>
        <v>28749000</v>
      </c>
      <c r="G110" s="54"/>
      <c r="H110" s="2"/>
      <c r="I110" s="2"/>
      <c r="J110" s="2"/>
      <c r="K110" s="2"/>
      <c r="L110" s="2"/>
      <c r="M110" s="2"/>
      <c r="N110" s="2"/>
    </row>
    <row r="111" spans="1:14" ht="28.15" customHeight="1" x14ac:dyDescent="0.2">
      <c r="A111" s="73" t="s">
        <v>136</v>
      </c>
      <c r="B111" s="71" t="s">
        <v>135</v>
      </c>
      <c r="C111" s="106" t="s">
        <v>134</v>
      </c>
      <c r="D111" s="57">
        <v>260695000</v>
      </c>
      <c r="E111" s="57">
        <f>3000000</f>
        <v>3000000</v>
      </c>
      <c r="F111" s="45">
        <f t="shared" si="21"/>
        <v>263695000</v>
      </c>
      <c r="G111" s="54"/>
      <c r="H111" s="2"/>
      <c r="I111" s="2"/>
      <c r="J111" s="2"/>
      <c r="K111" s="2"/>
      <c r="L111" s="2"/>
      <c r="M111" s="2"/>
      <c r="N111" s="2"/>
    </row>
    <row r="112" spans="1:14" ht="36" customHeight="1" x14ac:dyDescent="0.2">
      <c r="A112" s="66" t="s">
        <v>201</v>
      </c>
      <c r="B112" s="66" t="s">
        <v>202</v>
      </c>
      <c r="C112" s="79" t="s">
        <v>203</v>
      </c>
      <c r="D112" s="45">
        <v>0</v>
      </c>
      <c r="E112" s="45">
        <f>1361100-150000-9820</f>
        <v>1201280</v>
      </c>
      <c r="F112" s="45">
        <f t="shared" si="21"/>
        <v>1201280</v>
      </c>
      <c r="G112" s="54"/>
      <c r="H112" s="2"/>
      <c r="I112" s="2"/>
      <c r="J112" s="2"/>
      <c r="K112" s="2"/>
      <c r="L112" s="2"/>
      <c r="M112" s="2"/>
      <c r="N112" s="2"/>
    </row>
    <row r="113" spans="1:14" ht="40.9" customHeight="1" x14ac:dyDescent="0.2">
      <c r="A113" s="74">
        <v>2700000</v>
      </c>
      <c r="B113" s="27"/>
      <c r="C113" s="49" t="s">
        <v>137</v>
      </c>
      <c r="D113" s="30">
        <f>D114</f>
        <v>20160550</v>
      </c>
      <c r="E113" s="30">
        <f>E114</f>
        <v>597000</v>
      </c>
      <c r="F113" s="30">
        <f t="shared" si="21"/>
        <v>20757550</v>
      </c>
      <c r="G113" s="54"/>
      <c r="H113" s="2"/>
      <c r="I113" s="2"/>
      <c r="J113" s="2"/>
      <c r="K113" s="2"/>
      <c r="L113" s="2"/>
      <c r="M113" s="2"/>
      <c r="N113" s="2"/>
    </row>
    <row r="114" spans="1:14" ht="42" customHeight="1" x14ac:dyDescent="0.2">
      <c r="A114" s="74">
        <v>2710000</v>
      </c>
      <c r="B114" s="49"/>
      <c r="C114" s="49" t="s">
        <v>137</v>
      </c>
      <c r="D114" s="30">
        <v>20160550</v>
      </c>
      <c r="E114" s="30">
        <f>E115</f>
        <v>597000</v>
      </c>
      <c r="F114" s="30">
        <f t="shared" si="21"/>
        <v>20757550</v>
      </c>
      <c r="G114" s="54"/>
      <c r="H114" s="2"/>
      <c r="I114" s="2"/>
      <c r="J114" s="2"/>
      <c r="K114" s="2"/>
      <c r="L114" s="2"/>
      <c r="M114" s="2"/>
      <c r="N114" s="2"/>
    </row>
    <row r="115" spans="1:14" ht="37.15" customHeight="1" x14ac:dyDescent="0.2">
      <c r="A115" s="66" t="s">
        <v>148</v>
      </c>
      <c r="B115" s="66" t="s">
        <v>149</v>
      </c>
      <c r="C115" s="79" t="s">
        <v>150</v>
      </c>
      <c r="D115" s="45">
        <v>1462000</v>
      </c>
      <c r="E115" s="45">
        <f>597000</f>
        <v>597000</v>
      </c>
      <c r="F115" s="45">
        <f t="shared" si="21"/>
        <v>2059000</v>
      </c>
      <c r="G115" s="54"/>
      <c r="H115" s="2"/>
      <c r="I115" s="2"/>
      <c r="J115" s="2"/>
      <c r="K115" s="2"/>
      <c r="L115" s="2"/>
      <c r="M115" s="2"/>
      <c r="N115" s="2"/>
    </row>
    <row r="116" spans="1:14" ht="70.900000000000006" customHeight="1" x14ac:dyDescent="0.2">
      <c r="A116" s="74">
        <v>2900000</v>
      </c>
      <c r="B116" s="27"/>
      <c r="C116" s="49" t="s">
        <v>130</v>
      </c>
      <c r="D116" s="30">
        <f>D117</f>
        <v>3687529</v>
      </c>
      <c r="E116" s="30">
        <f>E117</f>
        <v>133967</v>
      </c>
      <c r="F116" s="30">
        <f t="shared" ref="F116:F118" si="22">D116+E116</f>
        <v>3821496</v>
      </c>
      <c r="G116" s="54"/>
      <c r="H116" s="2"/>
      <c r="I116" s="2"/>
      <c r="J116" s="2"/>
      <c r="K116" s="2"/>
      <c r="L116" s="2"/>
      <c r="M116" s="2"/>
      <c r="N116" s="2"/>
    </row>
    <row r="117" spans="1:14" ht="71.45" customHeight="1" x14ac:dyDescent="0.2">
      <c r="A117" s="74">
        <v>2910000</v>
      </c>
      <c r="B117" s="49"/>
      <c r="C117" s="49" t="s">
        <v>130</v>
      </c>
      <c r="D117" s="30">
        <v>3687529</v>
      </c>
      <c r="E117" s="30">
        <f>E118</f>
        <v>133967</v>
      </c>
      <c r="F117" s="30">
        <f t="shared" si="22"/>
        <v>3821496</v>
      </c>
      <c r="G117" s="54"/>
      <c r="H117" s="2"/>
      <c r="I117" s="2"/>
      <c r="J117" s="2"/>
      <c r="K117" s="2"/>
      <c r="L117" s="2"/>
      <c r="M117" s="2"/>
      <c r="N117" s="2"/>
    </row>
    <row r="118" spans="1:14" ht="32.450000000000003" customHeight="1" x14ac:dyDescent="0.2">
      <c r="A118" s="66" t="s">
        <v>132</v>
      </c>
      <c r="B118" s="66" t="s">
        <v>133</v>
      </c>
      <c r="C118" s="79" t="s">
        <v>131</v>
      </c>
      <c r="D118" s="45">
        <v>2952086</v>
      </c>
      <c r="E118" s="45">
        <f>133967</f>
        <v>133967</v>
      </c>
      <c r="F118" s="45">
        <f t="shared" si="22"/>
        <v>3086053</v>
      </c>
      <c r="G118" s="54"/>
      <c r="H118" s="2"/>
      <c r="I118" s="2"/>
      <c r="J118" s="2"/>
      <c r="K118" s="2"/>
      <c r="L118" s="2"/>
      <c r="M118" s="2"/>
      <c r="N118" s="2"/>
    </row>
    <row r="119" spans="1:14" ht="42.6" customHeight="1" x14ac:dyDescent="0.2">
      <c r="A119" s="74">
        <v>3700000</v>
      </c>
      <c r="B119" s="27"/>
      <c r="C119" s="49" t="s">
        <v>43</v>
      </c>
      <c r="D119" s="30">
        <f>D120</f>
        <v>1278416669.45</v>
      </c>
      <c r="E119" s="30">
        <f>E120</f>
        <v>-1710000</v>
      </c>
      <c r="F119" s="30">
        <f t="shared" ref="F119:F122" si="23">D119+E119</f>
        <v>1276706669.45</v>
      </c>
      <c r="G119" s="7"/>
      <c r="H119" s="2"/>
      <c r="I119" s="2"/>
      <c r="J119" s="2"/>
      <c r="K119" s="2"/>
      <c r="L119" s="2"/>
      <c r="M119" s="2"/>
      <c r="N119" s="2"/>
    </row>
    <row r="120" spans="1:14" ht="42.75" customHeight="1" x14ac:dyDescent="0.2">
      <c r="A120" s="74">
        <v>3710000</v>
      </c>
      <c r="B120" s="49"/>
      <c r="C120" s="49" t="s">
        <v>43</v>
      </c>
      <c r="D120" s="30">
        <v>1278416669.45</v>
      </c>
      <c r="E120" s="30">
        <f>E122+E121</f>
        <v>-1710000</v>
      </c>
      <c r="F120" s="30">
        <f t="shared" si="23"/>
        <v>1276706669.45</v>
      </c>
      <c r="G120" s="7"/>
      <c r="H120" s="2"/>
      <c r="I120" s="2"/>
      <c r="J120" s="2"/>
      <c r="K120" s="2"/>
      <c r="L120" s="2"/>
      <c r="M120" s="2"/>
      <c r="N120" s="2"/>
    </row>
    <row r="121" spans="1:14" ht="42.75" customHeight="1" x14ac:dyDescent="0.2">
      <c r="A121" s="66" t="s">
        <v>204</v>
      </c>
      <c r="B121" s="66" t="s">
        <v>205</v>
      </c>
      <c r="C121" s="79" t="s">
        <v>206</v>
      </c>
      <c r="D121" s="45">
        <v>2000000</v>
      </c>
      <c r="E121" s="45">
        <v>-2000000</v>
      </c>
      <c r="F121" s="45">
        <f t="shared" ref="F121" si="24">D121+E121</f>
        <v>0</v>
      </c>
      <c r="G121" s="7"/>
      <c r="H121" s="2"/>
      <c r="I121" s="2"/>
      <c r="J121" s="2"/>
      <c r="K121" s="2"/>
      <c r="L121" s="2"/>
      <c r="M121" s="2"/>
      <c r="N121" s="2"/>
    </row>
    <row r="122" spans="1:14" ht="30" customHeight="1" x14ac:dyDescent="0.2">
      <c r="A122" s="66" t="s">
        <v>144</v>
      </c>
      <c r="B122" s="66" t="s">
        <v>145</v>
      </c>
      <c r="C122" s="79" t="s">
        <v>146</v>
      </c>
      <c r="D122" s="45">
        <v>273205107</v>
      </c>
      <c r="E122" s="45">
        <f>SUM(E124:E125)</f>
        <v>290000</v>
      </c>
      <c r="F122" s="45">
        <f t="shared" si="23"/>
        <v>273495107</v>
      </c>
      <c r="G122" s="7"/>
      <c r="H122" s="2"/>
      <c r="I122" s="2"/>
      <c r="J122" s="2"/>
      <c r="K122" s="2"/>
      <c r="L122" s="2"/>
      <c r="M122" s="2"/>
      <c r="N122" s="2"/>
    </row>
    <row r="123" spans="1:14" ht="34.15" customHeight="1" x14ac:dyDescent="0.2">
      <c r="A123" s="66"/>
      <c r="B123" s="77"/>
      <c r="C123" s="107" t="s">
        <v>147</v>
      </c>
      <c r="D123" s="45"/>
      <c r="E123" s="45"/>
      <c r="F123" s="45"/>
      <c r="G123" s="7"/>
      <c r="H123" s="2"/>
      <c r="I123" s="2"/>
      <c r="J123" s="2"/>
      <c r="K123" s="2"/>
      <c r="L123" s="2"/>
      <c r="M123" s="2"/>
      <c r="N123" s="2"/>
    </row>
    <row r="124" spans="1:14" ht="22.15" customHeight="1" x14ac:dyDescent="0.2">
      <c r="A124" s="66"/>
      <c r="B124" s="77"/>
      <c r="C124" s="80" t="s">
        <v>32</v>
      </c>
      <c r="D124" s="55">
        <v>35642644</v>
      </c>
      <c r="E124" s="55">
        <v>140000</v>
      </c>
      <c r="F124" s="55">
        <f t="shared" ref="F124:F125" si="25">D124+E124</f>
        <v>35782644</v>
      </c>
      <c r="G124" s="7"/>
      <c r="H124" s="2"/>
      <c r="I124" s="2"/>
      <c r="J124" s="2"/>
      <c r="K124" s="2"/>
      <c r="L124" s="2"/>
      <c r="M124" s="2"/>
      <c r="N124" s="2"/>
    </row>
    <row r="125" spans="1:14" ht="23.45" customHeight="1" thickBot="1" x14ac:dyDescent="0.25">
      <c r="A125" s="66"/>
      <c r="B125" s="77"/>
      <c r="C125" s="80" t="s">
        <v>50</v>
      </c>
      <c r="D125" s="55">
        <v>51533188</v>
      </c>
      <c r="E125" s="55">
        <f>150000</f>
        <v>150000</v>
      </c>
      <c r="F125" s="55">
        <f t="shared" si="25"/>
        <v>51683188</v>
      </c>
      <c r="G125" s="7"/>
      <c r="H125" s="2"/>
      <c r="I125" s="2"/>
      <c r="J125" s="2"/>
      <c r="K125" s="2"/>
      <c r="L125" s="2"/>
      <c r="M125" s="2"/>
      <c r="N125" s="2"/>
    </row>
    <row r="126" spans="1:14" ht="43.9" customHeight="1" x14ac:dyDescent="0.3">
      <c r="A126" s="41"/>
      <c r="B126" s="63"/>
      <c r="C126" s="38" t="s">
        <v>8</v>
      </c>
      <c r="D126" s="84">
        <f>972263927.93+3525163+222917</f>
        <v>976012007.92999995</v>
      </c>
      <c r="E126" s="28">
        <f>E128+E147+E152+E167+E180+E185+E194</f>
        <v>29849610.399999999</v>
      </c>
      <c r="F126" s="28">
        <f t="shared" si="10"/>
        <v>1005861618.3299999</v>
      </c>
      <c r="G126" s="7"/>
      <c r="H126" s="2"/>
      <c r="I126" s="2"/>
      <c r="J126" s="2"/>
      <c r="K126" s="2"/>
      <c r="L126" s="2"/>
      <c r="M126" s="2"/>
      <c r="N126" s="2"/>
    </row>
    <row r="127" spans="1:14" ht="27.6" customHeight="1" thickBot="1" x14ac:dyDescent="0.35">
      <c r="A127" s="42"/>
      <c r="B127" s="64"/>
      <c r="C127" s="39" t="s">
        <v>6</v>
      </c>
      <c r="D127" s="29">
        <f>719346431.29+3525163</f>
        <v>722871594.28999996</v>
      </c>
      <c r="E127" s="29">
        <f>E130+E149+E154+E169+E187+E196</f>
        <v>29849610.399999999</v>
      </c>
      <c r="F127" s="29">
        <f t="shared" si="10"/>
        <v>752721204.68999994</v>
      </c>
      <c r="G127" s="7"/>
      <c r="H127" s="2"/>
      <c r="I127" s="2"/>
      <c r="J127" s="2"/>
      <c r="K127" s="2"/>
      <c r="L127" s="2"/>
      <c r="M127" s="2"/>
      <c r="N127" s="2"/>
    </row>
    <row r="128" spans="1:14" ht="39" customHeight="1" x14ac:dyDescent="0.2">
      <c r="A128" s="143" t="s">
        <v>21</v>
      </c>
      <c r="B128" s="148"/>
      <c r="C128" s="148" t="s">
        <v>42</v>
      </c>
      <c r="D128" s="150">
        <f>D129</f>
        <v>242797979.38</v>
      </c>
      <c r="E128" s="150">
        <f>E129</f>
        <v>4998414.4000000004</v>
      </c>
      <c r="F128" s="150">
        <f t="shared" ref="F128:F135" si="26">D128+E128</f>
        <v>247796393.78</v>
      </c>
      <c r="G128" s="7"/>
      <c r="H128" s="7"/>
      <c r="I128" s="2"/>
      <c r="J128" s="2"/>
      <c r="K128" s="2"/>
      <c r="L128" s="2"/>
      <c r="M128" s="2"/>
      <c r="N128" s="2"/>
    </row>
    <row r="129" spans="1:14" ht="40.15" customHeight="1" x14ac:dyDescent="0.2">
      <c r="A129" s="144" t="s">
        <v>22</v>
      </c>
      <c r="B129" s="137"/>
      <c r="C129" s="137" t="s">
        <v>42</v>
      </c>
      <c r="D129" s="30">
        <v>242797979.38</v>
      </c>
      <c r="E129" s="30">
        <f>E131+E133+E135+E137+E139+E143+E141</f>
        <v>4998414.4000000004</v>
      </c>
      <c r="F129" s="30">
        <f t="shared" si="26"/>
        <v>247796393.78</v>
      </c>
      <c r="G129" s="7"/>
      <c r="H129" s="7"/>
      <c r="I129" s="2"/>
      <c r="J129" s="2"/>
      <c r="K129" s="2"/>
      <c r="L129" s="2"/>
      <c r="M129" s="2"/>
      <c r="N129" s="2"/>
    </row>
    <row r="130" spans="1:14" ht="30.6" customHeight="1" x14ac:dyDescent="0.2">
      <c r="A130" s="145"/>
      <c r="B130" s="138"/>
      <c r="C130" s="138" t="s">
        <v>6</v>
      </c>
      <c r="D130" s="46">
        <v>128397794.29000001</v>
      </c>
      <c r="E130" s="46">
        <f>E132+E134+E136+E138+E140+E144+E142</f>
        <v>4998414.4000000004</v>
      </c>
      <c r="F130" s="46">
        <f t="shared" si="26"/>
        <v>133396208.69000001</v>
      </c>
      <c r="G130" s="7"/>
      <c r="H130" s="7"/>
      <c r="I130" s="2"/>
      <c r="J130" s="2"/>
      <c r="K130" s="2"/>
      <c r="L130" s="2"/>
      <c r="M130" s="2"/>
      <c r="N130" s="2"/>
    </row>
    <row r="131" spans="1:14" ht="30" customHeight="1" x14ac:dyDescent="0.2">
      <c r="A131" s="66" t="s">
        <v>52</v>
      </c>
      <c r="B131" s="139" t="s">
        <v>53</v>
      </c>
      <c r="C131" s="149" t="s">
        <v>51</v>
      </c>
      <c r="D131" s="45">
        <v>45786313</v>
      </c>
      <c r="E131" s="45">
        <f>E132</f>
        <v>425000</v>
      </c>
      <c r="F131" s="45">
        <f t="shared" ref="F131:F132" si="27">D131+E131</f>
        <v>46211313</v>
      </c>
      <c r="G131" s="7"/>
      <c r="H131" s="7"/>
      <c r="I131" s="2"/>
      <c r="J131" s="2"/>
      <c r="K131" s="2"/>
      <c r="L131" s="2"/>
      <c r="M131" s="2"/>
      <c r="N131" s="2"/>
    </row>
    <row r="132" spans="1:14" ht="19.5" customHeight="1" x14ac:dyDescent="0.2">
      <c r="A132" s="56"/>
      <c r="B132" s="139"/>
      <c r="C132" s="146" t="s">
        <v>6</v>
      </c>
      <c r="D132" s="55">
        <v>2504645</v>
      </c>
      <c r="E132" s="55">
        <f>425000</f>
        <v>425000</v>
      </c>
      <c r="F132" s="55">
        <f t="shared" si="27"/>
        <v>2929645</v>
      </c>
      <c r="G132" s="7"/>
      <c r="H132" s="7"/>
      <c r="I132" s="2"/>
      <c r="J132" s="2"/>
      <c r="K132" s="2"/>
      <c r="L132" s="2"/>
      <c r="M132" s="2"/>
      <c r="N132" s="2"/>
    </row>
    <row r="133" spans="1:14" ht="112.9" customHeight="1" x14ac:dyDescent="0.2">
      <c r="A133" s="66" t="s">
        <v>23</v>
      </c>
      <c r="B133" s="139">
        <v>1020</v>
      </c>
      <c r="C133" s="149" t="s">
        <v>213</v>
      </c>
      <c r="D133" s="45">
        <v>76662175.689999998</v>
      </c>
      <c r="E133" s="45">
        <f>E134</f>
        <v>1937192</v>
      </c>
      <c r="F133" s="45">
        <f t="shared" si="26"/>
        <v>78599367.689999998</v>
      </c>
      <c r="G133" s="83"/>
      <c r="H133" s="7"/>
      <c r="I133" s="2"/>
      <c r="J133" s="2"/>
      <c r="K133" s="2"/>
      <c r="L133" s="2"/>
      <c r="M133" s="2"/>
      <c r="N133" s="2"/>
    </row>
    <row r="134" spans="1:14" ht="23.25" customHeight="1" x14ac:dyDescent="0.2">
      <c r="A134" s="56"/>
      <c r="B134" s="140"/>
      <c r="C134" s="146" t="s">
        <v>6</v>
      </c>
      <c r="D134" s="55">
        <v>24786287.690000001</v>
      </c>
      <c r="E134" s="55">
        <f>1937192</f>
        <v>1937192</v>
      </c>
      <c r="F134" s="55">
        <f t="shared" si="26"/>
        <v>26723479.690000001</v>
      </c>
      <c r="G134" s="7"/>
      <c r="H134" s="7"/>
      <c r="I134" s="2"/>
      <c r="J134" s="2"/>
      <c r="K134" s="2"/>
      <c r="L134" s="2"/>
      <c r="M134" s="2"/>
      <c r="N134" s="2"/>
    </row>
    <row r="135" spans="1:14" ht="72.599999999999994" customHeight="1" x14ac:dyDescent="0.2">
      <c r="A135" s="66" t="s">
        <v>151</v>
      </c>
      <c r="B135" s="139" t="s">
        <v>152</v>
      </c>
      <c r="C135" s="149" t="s">
        <v>153</v>
      </c>
      <c r="D135" s="45">
        <v>537088</v>
      </c>
      <c r="E135" s="45">
        <f>E136</f>
        <v>10022</v>
      </c>
      <c r="F135" s="45">
        <f t="shared" si="26"/>
        <v>547110</v>
      </c>
      <c r="G135" s="7"/>
      <c r="H135" s="7"/>
      <c r="I135" s="2"/>
      <c r="J135" s="2"/>
      <c r="K135" s="2"/>
      <c r="L135" s="2"/>
      <c r="M135" s="2"/>
      <c r="N135" s="2"/>
    </row>
    <row r="136" spans="1:14" ht="23.25" customHeight="1" x14ac:dyDescent="0.2">
      <c r="A136" s="56"/>
      <c r="B136" s="140"/>
      <c r="C136" s="146" t="s">
        <v>6</v>
      </c>
      <c r="D136" s="55">
        <v>249322</v>
      </c>
      <c r="E136" s="55">
        <f>10022</f>
        <v>10022</v>
      </c>
      <c r="F136" s="55">
        <f t="shared" ref="F136" si="28">D136+E136</f>
        <v>259344</v>
      </c>
      <c r="G136" s="7"/>
      <c r="H136" s="7"/>
      <c r="I136" s="2"/>
      <c r="J136" s="2"/>
      <c r="K136" s="2"/>
      <c r="L136" s="2"/>
      <c r="M136" s="2"/>
      <c r="N136" s="2"/>
    </row>
    <row r="137" spans="1:14" ht="127.15" customHeight="1" x14ac:dyDescent="0.2">
      <c r="A137" s="66" t="s">
        <v>154</v>
      </c>
      <c r="B137" s="139" t="s">
        <v>155</v>
      </c>
      <c r="C137" s="149" t="s">
        <v>156</v>
      </c>
      <c r="D137" s="45">
        <v>23384</v>
      </c>
      <c r="E137" s="57">
        <f>E138</f>
        <v>10022</v>
      </c>
      <c r="F137" s="57">
        <f t="shared" ref="F137:F138" si="29">D137+E137</f>
        <v>33406</v>
      </c>
      <c r="G137" s="7"/>
      <c r="H137" s="7"/>
      <c r="I137" s="2"/>
      <c r="J137" s="2"/>
      <c r="K137" s="2"/>
      <c r="L137" s="2"/>
      <c r="M137" s="2"/>
      <c r="N137" s="2"/>
    </row>
    <row r="138" spans="1:14" ht="23.25" customHeight="1" x14ac:dyDescent="0.2">
      <c r="A138" s="66"/>
      <c r="B138" s="141"/>
      <c r="C138" s="146" t="s">
        <v>6</v>
      </c>
      <c r="D138" s="69">
        <v>23384</v>
      </c>
      <c r="E138" s="69">
        <f>10022</f>
        <v>10022</v>
      </c>
      <c r="F138" s="55">
        <f t="shared" si="29"/>
        <v>33406</v>
      </c>
      <c r="G138" s="83"/>
      <c r="H138" s="83"/>
      <c r="I138" s="2"/>
      <c r="J138" s="2"/>
      <c r="K138" s="2"/>
      <c r="L138" s="2"/>
      <c r="M138" s="2"/>
      <c r="N138" s="2"/>
    </row>
    <row r="139" spans="1:14" ht="58.9" customHeight="1" x14ac:dyDescent="0.2">
      <c r="A139" s="66" t="s">
        <v>54</v>
      </c>
      <c r="B139" s="139" t="s">
        <v>55</v>
      </c>
      <c r="C139" s="149" t="s">
        <v>56</v>
      </c>
      <c r="D139" s="45">
        <v>3395078</v>
      </c>
      <c r="E139" s="57">
        <f>E140</f>
        <v>312800</v>
      </c>
      <c r="F139" s="57">
        <f t="shared" ref="F139:F141" si="30">D139+E139</f>
        <v>3707878</v>
      </c>
      <c r="G139" s="83"/>
      <c r="H139" s="83"/>
      <c r="I139" s="2"/>
      <c r="J139" s="2"/>
      <c r="K139" s="2"/>
      <c r="L139" s="2"/>
      <c r="M139" s="2"/>
      <c r="N139" s="2"/>
    </row>
    <row r="140" spans="1:14" ht="21" customHeight="1" x14ac:dyDescent="0.2">
      <c r="A140" s="66"/>
      <c r="B140" s="141"/>
      <c r="C140" s="146" t="s">
        <v>6</v>
      </c>
      <c r="D140" s="69">
        <v>1766017</v>
      </c>
      <c r="E140" s="69">
        <f>312800-102800+102800</f>
        <v>312800</v>
      </c>
      <c r="F140" s="55">
        <f>D140+E140</f>
        <v>2078817</v>
      </c>
      <c r="G140" s="85"/>
      <c r="H140" s="85"/>
      <c r="I140" s="2"/>
      <c r="J140" s="2"/>
      <c r="K140" s="2"/>
      <c r="L140" s="2"/>
      <c r="M140" s="2"/>
      <c r="N140" s="2"/>
    </row>
    <row r="141" spans="1:14" ht="37.5" x14ac:dyDescent="0.2">
      <c r="A141" s="66" t="s">
        <v>26</v>
      </c>
      <c r="B141" s="66" t="s">
        <v>25</v>
      </c>
      <c r="C141" s="79" t="s">
        <v>24</v>
      </c>
      <c r="D141" s="69">
        <f>D142</f>
        <v>36121633.539999999</v>
      </c>
      <c r="E141" s="69">
        <f>E142</f>
        <v>-9102</v>
      </c>
      <c r="F141" s="57">
        <f t="shared" si="30"/>
        <v>36112531.539999999</v>
      </c>
      <c r="G141" s="85"/>
      <c r="H141" s="85"/>
      <c r="I141" s="2"/>
      <c r="J141" s="2"/>
      <c r="K141" s="2"/>
      <c r="L141" s="2"/>
      <c r="M141" s="2"/>
      <c r="N141" s="2"/>
    </row>
    <row r="142" spans="1:14" ht="21" customHeight="1" x14ac:dyDescent="0.2">
      <c r="A142" s="66"/>
      <c r="B142" s="141"/>
      <c r="C142" s="146" t="s">
        <v>6</v>
      </c>
      <c r="D142" s="69">
        <v>36121633.539999999</v>
      </c>
      <c r="E142" s="69">
        <v>-9102</v>
      </c>
      <c r="F142" s="55">
        <f>D142+E142</f>
        <v>36112531.539999999</v>
      </c>
      <c r="G142" s="85"/>
      <c r="H142" s="85"/>
      <c r="I142" s="2"/>
      <c r="J142" s="2"/>
      <c r="K142" s="2"/>
      <c r="L142" s="2"/>
      <c r="M142" s="2"/>
      <c r="N142" s="2"/>
    </row>
    <row r="143" spans="1:14" ht="75.75" customHeight="1" x14ac:dyDescent="0.2">
      <c r="A143" s="66" t="s">
        <v>207</v>
      </c>
      <c r="B143" s="139" t="s">
        <v>78</v>
      </c>
      <c r="C143" s="151" t="s">
        <v>208</v>
      </c>
      <c r="D143" s="45">
        <f>D144</f>
        <v>14039761.18</v>
      </c>
      <c r="E143" s="57">
        <f>E144</f>
        <v>2312480.4</v>
      </c>
      <c r="F143" s="57">
        <f>D143+E143</f>
        <v>16352241.58</v>
      </c>
      <c r="G143" s="85"/>
      <c r="H143" s="85"/>
      <c r="I143" s="2"/>
      <c r="J143" s="2"/>
      <c r="K143" s="2"/>
      <c r="L143" s="2"/>
      <c r="M143" s="2"/>
      <c r="N143" s="2"/>
    </row>
    <row r="144" spans="1:14" ht="21" customHeight="1" x14ac:dyDescent="0.2">
      <c r="A144" s="66"/>
      <c r="B144" s="141"/>
      <c r="C144" s="146" t="s">
        <v>6</v>
      </c>
      <c r="D144" s="69">
        <v>14039761.18</v>
      </c>
      <c r="E144" s="69">
        <f>E145+E146+9102</f>
        <v>2312480.4</v>
      </c>
      <c r="F144" s="55">
        <f t="shared" ref="F144:F146" si="31">D144+E144</f>
        <v>16352241.58</v>
      </c>
      <c r="G144" s="85"/>
      <c r="H144" s="85"/>
      <c r="I144" s="2"/>
      <c r="J144" s="2"/>
      <c r="K144" s="2"/>
      <c r="L144" s="2"/>
      <c r="M144" s="2"/>
      <c r="N144" s="2"/>
    </row>
    <row r="145" spans="1:14" ht="99" x14ac:dyDescent="0.2">
      <c r="A145" s="56"/>
      <c r="B145" s="140"/>
      <c r="C145" s="146" t="s">
        <v>209</v>
      </c>
      <c r="D145" s="55">
        <v>12870319.18</v>
      </c>
      <c r="E145" s="55">
        <v>303378.40000000002</v>
      </c>
      <c r="F145" s="55">
        <f t="shared" si="31"/>
        <v>13173697.58</v>
      </c>
      <c r="G145" s="85"/>
      <c r="H145" s="85"/>
      <c r="I145" s="2"/>
      <c r="J145" s="2"/>
      <c r="K145" s="2"/>
      <c r="L145" s="2"/>
      <c r="M145" s="2"/>
      <c r="N145" s="2"/>
    </row>
    <row r="146" spans="1:14" ht="83.25" thickBot="1" x14ac:dyDescent="0.25">
      <c r="A146" s="135"/>
      <c r="B146" s="142"/>
      <c r="C146" s="147" t="s">
        <v>210</v>
      </c>
      <c r="D146" s="136">
        <v>0</v>
      </c>
      <c r="E146" s="136">
        <v>2000000</v>
      </c>
      <c r="F146" s="136">
        <f t="shared" si="31"/>
        <v>2000000</v>
      </c>
      <c r="G146" s="85"/>
      <c r="H146" s="85"/>
      <c r="I146" s="2"/>
      <c r="J146" s="2"/>
      <c r="K146" s="2"/>
      <c r="L146" s="2"/>
      <c r="M146" s="2"/>
      <c r="N146" s="2"/>
    </row>
    <row r="147" spans="1:14" ht="44.45" customHeight="1" x14ac:dyDescent="0.2">
      <c r="A147" s="134" t="s">
        <v>29</v>
      </c>
      <c r="B147" s="49"/>
      <c r="C147" s="49" t="s">
        <v>13</v>
      </c>
      <c r="D147" s="30">
        <f>D148</f>
        <v>96619181</v>
      </c>
      <c r="E147" s="30">
        <f>E148</f>
        <v>224333.6</v>
      </c>
      <c r="F147" s="30">
        <f t="shared" ref="F147:F151" si="32">D147+E147</f>
        <v>96843514.599999994</v>
      </c>
      <c r="G147" s="85"/>
      <c r="H147" s="85"/>
      <c r="I147" s="2"/>
      <c r="J147" s="2"/>
      <c r="K147" s="2"/>
      <c r="L147" s="2"/>
      <c r="M147" s="2"/>
      <c r="N147" s="2"/>
    </row>
    <row r="148" spans="1:14" ht="44.45" customHeight="1" x14ac:dyDescent="0.2">
      <c r="A148" s="72" t="s">
        <v>30</v>
      </c>
      <c r="B148" s="49"/>
      <c r="C148" s="49" t="s">
        <v>13</v>
      </c>
      <c r="D148" s="30">
        <v>96619181</v>
      </c>
      <c r="E148" s="30">
        <f>E150</f>
        <v>224333.6</v>
      </c>
      <c r="F148" s="30">
        <f t="shared" si="32"/>
        <v>96843514.599999994</v>
      </c>
      <c r="G148" s="85"/>
      <c r="H148" s="85"/>
      <c r="I148" s="2"/>
      <c r="J148" s="2"/>
      <c r="K148" s="2"/>
      <c r="L148" s="2"/>
      <c r="M148" s="2"/>
      <c r="N148" s="2"/>
    </row>
    <row r="149" spans="1:14" ht="21" customHeight="1" x14ac:dyDescent="0.2">
      <c r="A149" s="75"/>
      <c r="B149" s="67"/>
      <c r="C149" s="67" t="s">
        <v>6</v>
      </c>
      <c r="D149" s="46">
        <v>64048927</v>
      </c>
      <c r="E149" s="46">
        <f>E151</f>
        <v>224333.6</v>
      </c>
      <c r="F149" s="46">
        <f t="shared" si="32"/>
        <v>64273260.600000001</v>
      </c>
      <c r="G149" s="85"/>
      <c r="H149" s="85"/>
      <c r="I149" s="2"/>
      <c r="J149" s="2"/>
      <c r="K149" s="2"/>
      <c r="L149" s="2"/>
      <c r="M149" s="2"/>
      <c r="N149" s="2"/>
    </row>
    <row r="150" spans="1:14" ht="44.45" customHeight="1" x14ac:dyDescent="0.2">
      <c r="A150" s="66" t="s">
        <v>31</v>
      </c>
      <c r="B150" s="66" t="s">
        <v>15</v>
      </c>
      <c r="C150" s="79" t="s">
        <v>14</v>
      </c>
      <c r="D150" s="57">
        <v>46583694</v>
      </c>
      <c r="E150" s="57">
        <f>E151</f>
        <v>224333.6</v>
      </c>
      <c r="F150" s="45">
        <f t="shared" si="32"/>
        <v>46808027.600000001</v>
      </c>
      <c r="G150" s="85"/>
      <c r="H150" s="85"/>
      <c r="I150" s="2"/>
      <c r="J150" s="2"/>
      <c r="K150" s="2"/>
      <c r="L150" s="2"/>
      <c r="M150" s="2"/>
      <c r="N150" s="2"/>
    </row>
    <row r="151" spans="1:14" ht="21" customHeight="1" x14ac:dyDescent="0.2">
      <c r="A151" s="56"/>
      <c r="B151" s="56"/>
      <c r="C151" s="48" t="s">
        <v>6</v>
      </c>
      <c r="D151" s="68">
        <v>35336000</v>
      </c>
      <c r="E151" s="55">
        <f>224333.6</f>
        <v>224333.6</v>
      </c>
      <c r="F151" s="55">
        <f t="shared" si="32"/>
        <v>35560333.600000001</v>
      </c>
      <c r="G151" s="85"/>
      <c r="H151" s="85"/>
      <c r="I151" s="2"/>
      <c r="J151" s="2"/>
      <c r="K151" s="2"/>
      <c r="L151" s="2"/>
      <c r="M151" s="2"/>
      <c r="N151" s="2"/>
    </row>
    <row r="152" spans="1:14" ht="43.15" customHeight="1" x14ac:dyDescent="0.2">
      <c r="A152" s="74">
        <v>1000000</v>
      </c>
      <c r="B152" s="49"/>
      <c r="C152" s="49" t="s">
        <v>17</v>
      </c>
      <c r="D152" s="30">
        <f>D153</f>
        <v>39796088.270000003</v>
      </c>
      <c r="E152" s="30">
        <f>E153</f>
        <v>760000</v>
      </c>
      <c r="F152" s="30">
        <f t="shared" ref="F152:F156" si="33">D152+E152</f>
        <v>40556088.270000003</v>
      </c>
      <c r="G152" s="7"/>
      <c r="H152" s="7"/>
      <c r="I152" s="2"/>
      <c r="J152" s="2"/>
      <c r="K152" s="2"/>
      <c r="L152" s="2"/>
      <c r="M152" s="2"/>
      <c r="N152" s="2"/>
    </row>
    <row r="153" spans="1:14" ht="38.450000000000003" customHeight="1" x14ac:dyDescent="0.2">
      <c r="A153" s="74">
        <v>1010000</v>
      </c>
      <c r="B153" s="49"/>
      <c r="C153" s="49" t="s">
        <v>17</v>
      </c>
      <c r="D153" s="30">
        <v>39796088.270000003</v>
      </c>
      <c r="E153" s="30">
        <f>E155+E157+E159+E161+E163+E165</f>
        <v>760000</v>
      </c>
      <c r="F153" s="30">
        <f t="shared" si="33"/>
        <v>40556088.270000003</v>
      </c>
      <c r="G153" s="7"/>
      <c r="H153" s="7"/>
      <c r="I153" s="2"/>
      <c r="J153" s="2"/>
      <c r="K153" s="2"/>
      <c r="L153" s="2"/>
      <c r="M153" s="2"/>
      <c r="N153" s="2"/>
    </row>
    <row r="154" spans="1:14" ht="23.25" customHeight="1" x14ac:dyDescent="0.2">
      <c r="A154" s="75"/>
      <c r="B154" s="67"/>
      <c r="C154" s="67" t="s">
        <v>6</v>
      </c>
      <c r="D154" s="46">
        <v>26770876</v>
      </c>
      <c r="E154" s="46">
        <f>E156+E158+E160+E162+E164+E166</f>
        <v>760000</v>
      </c>
      <c r="F154" s="46">
        <f t="shared" si="33"/>
        <v>27530876</v>
      </c>
      <c r="G154" s="7"/>
      <c r="H154" s="7"/>
      <c r="I154" s="2"/>
      <c r="J154" s="2"/>
      <c r="K154" s="2"/>
      <c r="L154" s="2"/>
      <c r="M154" s="2"/>
      <c r="N154" s="2"/>
    </row>
    <row r="155" spans="1:14" ht="80.45" customHeight="1" x14ac:dyDescent="0.2">
      <c r="A155" s="66" t="s">
        <v>126</v>
      </c>
      <c r="B155" s="66" t="s">
        <v>127</v>
      </c>
      <c r="C155" s="79" t="s">
        <v>128</v>
      </c>
      <c r="D155" s="57">
        <v>8788303</v>
      </c>
      <c r="E155" s="57">
        <f>E156</f>
        <v>40000</v>
      </c>
      <c r="F155" s="45">
        <f t="shared" si="33"/>
        <v>8828303</v>
      </c>
      <c r="G155" s="7"/>
      <c r="H155" s="7"/>
      <c r="I155" s="2"/>
      <c r="J155" s="2"/>
      <c r="K155" s="2"/>
      <c r="L155" s="2"/>
      <c r="M155" s="2"/>
      <c r="N155" s="2"/>
    </row>
    <row r="156" spans="1:14" ht="23.25" customHeight="1" x14ac:dyDescent="0.2">
      <c r="A156" s="56"/>
      <c r="B156" s="56"/>
      <c r="C156" s="48" t="s">
        <v>6</v>
      </c>
      <c r="D156" s="68">
        <v>395319</v>
      </c>
      <c r="E156" s="55">
        <f>40000</f>
        <v>40000</v>
      </c>
      <c r="F156" s="55">
        <f t="shared" si="33"/>
        <v>435319</v>
      </c>
      <c r="G156" s="7"/>
      <c r="H156" s="7"/>
      <c r="I156" s="2"/>
      <c r="J156" s="2"/>
      <c r="K156" s="2"/>
      <c r="L156" s="2"/>
      <c r="M156" s="2"/>
      <c r="N156" s="2"/>
    </row>
    <row r="157" spans="1:14" ht="23.25" customHeight="1" x14ac:dyDescent="0.2">
      <c r="A157" s="66" t="s">
        <v>118</v>
      </c>
      <c r="B157" s="66" t="s">
        <v>117</v>
      </c>
      <c r="C157" s="79" t="s">
        <v>119</v>
      </c>
      <c r="D157" s="57">
        <v>4000000</v>
      </c>
      <c r="E157" s="57">
        <f>E158</f>
        <v>50000</v>
      </c>
      <c r="F157" s="45">
        <f t="shared" ref="F157:F158" si="34">D157+E157</f>
        <v>4050000</v>
      </c>
      <c r="G157" s="7"/>
      <c r="H157" s="7"/>
      <c r="I157" s="2"/>
      <c r="J157" s="2"/>
      <c r="K157" s="2"/>
      <c r="L157" s="2"/>
      <c r="M157" s="2"/>
      <c r="N157" s="2"/>
    </row>
    <row r="158" spans="1:14" ht="23.25" customHeight="1" x14ac:dyDescent="0.2">
      <c r="A158" s="56"/>
      <c r="B158" s="56"/>
      <c r="C158" s="48" t="s">
        <v>6</v>
      </c>
      <c r="D158" s="68">
        <v>4000000</v>
      </c>
      <c r="E158" s="55">
        <f>50000</f>
        <v>50000</v>
      </c>
      <c r="F158" s="55">
        <f t="shared" si="34"/>
        <v>4050000</v>
      </c>
      <c r="G158" s="7"/>
      <c r="H158" s="7"/>
      <c r="I158" s="2"/>
      <c r="J158" s="2"/>
      <c r="K158" s="2"/>
      <c r="L158" s="2"/>
      <c r="M158" s="2"/>
      <c r="N158" s="2"/>
    </row>
    <row r="159" spans="1:14" ht="23.25" customHeight="1" x14ac:dyDescent="0.2">
      <c r="A159" s="66" t="s">
        <v>83</v>
      </c>
      <c r="B159" s="66" t="s">
        <v>84</v>
      </c>
      <c r="C159" s="79" t="s">
        <v>82</v>
      </c>
      <c r="D159" s="57">
        <v>3637341</v>
      </c>
      <c r="E159" s="57">
        <f>E160</f>
        <v>-216683</v>
      </c>
      <c r="F159" s="45">
        <f t="shared" ref="F159:F162" si="35">D159+E159</f>
        <v>3420658</v>
      </c>
      <c r="G159" s="7"/>
      <c r="H159" s="7"/>
      <c r="I159" s="2"/>
      <c r="J159" s="2"/>
      <c r="K159" s="2"/>
      <c r="L159" s="2"/>
      <c r="M159" s="2"/>
      <c r="N159" s="2"/>
    </row>
    <row r="160" spans="1:14" ht="23.25" customHeight="1" x14ac:dyDescent="0.2">
      <c r="A160" s="56"/>
      <c r="B160" s="56"/>
      <c r="C160" s="48" t="s">
        <v>6</v>
      </c>
      <c r="D160" s="68">
        <v>3535857</v>
      </c>
      <c r="E160" s="55">
        <v>-216683</v>
      </c>
      <c r="F160" s="55">
        <f t="shared" si="35"/>
        <v>3319174</v>
      </c>
      <c r="G160" s="7"/>
      <c r="H160" s="7"/>
      <c r="I160" s="2"/>
      <c r="J160" s="2"/>
      <c r="K160" s="2"/>
      <c r="L160" s="2"/>
      <c r="M160" s="2"/>
      <c r="N160" s="2"/>
    </row>
    <row r="161" spans="1:14" ht="37.15" customHeight="1" x14ac:dyDescent="0.2">
      <c r="A161" s="66" t="s">
        <v>123</v>
      </c>
      <c r="B161" s="66" t="s">
        <v>124</v>
      </c>
      <c r="C161" s="79" t="s">
        <v>125</v>
      </c>
      <c r="D161" s="57">
        <v>273645</v>
      </c>
      <c r="E161" s="57">
        <f>E162</f>
        <v>216683</v>
      </c>
      <c r="F161" s="45">
        <f t="shared" si="35"/>
        <v>490328</v>
      </c>
      <c r="G161" s="7"/>
      <c r="H161" s="7"/>
      <c r="I161" s="2"/>
      <c r="J161" s="2"/>
      <c r="K161" s="2"/>
      <c r="L161" s="2"/>
      <c r="M161" s="2"/>
      <c r="N161" s="2"/>
    </row>
    <row r="162" spans="1:14" ht="23.25" customHeight="1" x14ac:dyDescent="0.2">
      <c r="A162" s="56"/>
      <c r="B162" s="56"/>
      <c r="C162" s="48" t="s">
        <v>6</v>
      </c>
      <c r="D162" s="68">
        <v>150000</v>
      </c>
      <c r="E162" s="55">
        <v>216683</v>
      </c>
      <c r="F162" s="55">
        <f t="shared" si="35"/>
        <v>366683</v>
      </c>
      <c r="G162" s="7"/>
      <c r="H162" s="7"/>
      <c r="I162" s="2"/>
      <c r="J162" s="2"/>
      <c r="K162" s="2"/>
      <c r="L162" s="2"/>
      <c r="M162" s="2"/>
      <c r="N162" s="2"/>
    </row>
    <row r="163" spans="1:14" ht="54.6" customHeight="1" x14ac:dyDescent="0.2">
      <c r="A163" s="66" t="s">
        <v>120</v>
      </c>
      <c r="B163" s="66" t="s">
        <v>121</v>
      </c>
      <c r="C163" s="79" t="s">
        <v>122</v>
      </c>
      <c r="D163" s="57">
        <v>20968962</v>
      </c>
      <c r="E163" s="57">
        <f>E164</f>
        <v>70000</v>
      </c>
      <c r="F163" s="45">
        <f t="shared" ref="F163:F164" si="36">D163+E163</f>
        <v>21038962</v>
      </c>
      <c r="G163" s="7"/>
      <c r="H163" s="7"/>
      <c r="I163" s="2"/>
      <c r="J163" s="2"/>
      <c r="K163" s="2"/>
      <c r="L163" s="2"/>
      <c r="M163" s="2"/>
      <c r="N163" s="2"/>
    </row>
    <row r="164" spans="1:14" ht="23.25" customHeight="1" x14ac:dyDescent="0.2">
      <c r="A164" s="56"/>
      <c r="B164" s="56"/>
      <c r="C164" s="48" t="s">
        <v>6</v>
      </c>
      <c r="D164" s="68">
        <v>17700700</v>
      </c>
      <c r="E164" s="55">
        <f>70000</f>
        <v>70000</v>
      </c>
      <c r="F164" s="55">
        <f t="shared" si="36"/>
        <v>17770700</v>
      </c>
      <c r="G164" s="7"/>
      <c r="H164" s="7"/>
      <c r="I164" s="2"/>
      <c r="J164" s="2"/>
      <c r="K164" s="2"/>
      <c r="L164" s="2"/>
      <c r="M164" s="2"/>
      <c r="N164" s="2"/>
    </row>
    <row r="165" spans="1:14" ht="79.900000000000006" customHeight="1" x14ac:dyDescent="0.2">
      <c r="A165" s="66" t="s">
        <v>183</v>
      </c>
      <c r="B165" s="66" t="s">
        <v>78</v>
      </c>
      <c r="C165" s="79" t="s">
        <v>77</v>
      </c>
      <c r="D165" s="57">
        <v>412000</v>
      </c>
      <c r="E165" s="57">
        <f>E166</f>
        <v>600000</v>
      </c>
      <c r="F165" s="45">
        <f t="shared" ref="F165:F166" si="37">D165+E165</f>
        <v>1012000</v>
      </c>
      <c r="G165" s="7"/>
      <c r="H165" s="7"/>
      <c r="I165" s="2"/>
      <c r="J165" s="2"/>
      <c r="K165" s="2"/>
      <c r="L165" s="2"/>
      <c r="M165" s="2"/>
      <c r="N165" s="2"/>
    </row>
    <row r="166" spans="1:14" ht="23.25" customHeight="1" x14ac:dyDescent="0.2">
      <c r="A166" s="56"/>
      <c r="B166" s="56"/>
      <c r="C166" s="48" t="s">
        <v>6</v>
      </c>
      <c r="D166" s="68">
        <v>412000</v>
      </c>
      <c r="E166" s="55">
        <f>600000</f>
        <v>600000</v>
      </c>
      <c r="F166" s="55">
        <f t="shared" si="37"/>
        <v>1012000</v>
      </c>
      <c r="G166" s="7"/>
      <c r="H166" s="7"/>
      <c r="I166" s="2"/>
      <c r="J166" s="2"/>
      <c r="K166" s="2"/>
      <c r="L166" s="2"/>
      <c r="M166" s="2"/>
      <c r="N166" s="2"/>
    </row>
    <row r="167" spans="1:14" ht="56.25" customHeight="1" x14ac:dyDescent="0.2">
      <c r="A167" s="74">
        <v>1200000</v>
      </c>
      <c r="B167" s="49"/>
      <c r="C167" s="49" t="s">
        <v>47</v>
      </c>
      <c r="D167" s="30">
        <f>D168</f>
        <v>334653019</v>
      </c>
      <c r="E167" s="30">
        <f>E168</f>
        <v>6489223.4000000004</v>
      </c>
      <c r="F167" s="30">
        <f t="shared" ref="F167:F168" si="38">D167+E167</f>
        <v>341142242.39999998</v>
      </c>
      <c r="G167" s="7"/>
      <c r="H167" s="7"/>
      <c r="I167" s="2"/>
      <c r="J167" s="2"/>
      <c r="K167" s="2"/>
      <c r="L167" s="2"/>
      <c r="M167" s="2"/>
      <c r="N167" s="2"/>
    </row>
    <row r="168" spans="1:14" ht="56.25" customHeight="1" x14ac:dyDescent="0.2">
      <c r="A168" s="74">
        <v>1210000</v>
      </c>
      <c r="B168" s="49"/>
      <c r="C168" s="49" t="s">
        <v>47</v>
      </c>
      <c r="D168" s="30">
        <v>334653019</v>
      </c>
      <c r="E168" s="30">
        <f>E170+E172+E174+E176+E178</f>
        <v>6489223.4000000004</v>
      </c>
      <c r="F168" s="30">
        <f t="shared" si="38"/>
        <v>341142242.39999998</v>
      </c>
      <c r="G168" s="7"/>
      <c r="H168" s="7"/>
      <c r="I168" s="2"/>
      <c r="J168" s="2"/>
      <c r="K168" s="2"/>
      <c r="L168" s="2"/>
      <c r="M168" s="2"/>
      <c r="N168" s="2"/>
    </row>
    <row r="169" spans="1:14" ht="23.25" customHeight="1" x14ac:dyDescent="0.2">
      <c r="A169" s="75"/>
      <c r="B169" s="67"/>
      <c r="C169" s="67" t="s">
        <v>6</v>
      </c>
      <c r="D169" s="46">
        <v>272497350</v>
      </c>
      <c r="E169" s="46">
        <f>E171+E173+E175+E177+E179</f>
        <v>6489223.4000000004</v>
      </c>
      <c r="F169" s="46">
        <f t="shared" ref="F169:F172" si="39">D169+E169</f>
        <v>278986573.39999998</v>
      </c>
      <c r="G169" s="7"/>
      <c r="H169" s="7"/>
      <c r="I169" s="2"/>
      <c r="J169" s="2"/>
      <c r="K169" s="2"/>
      <c r="L169" s="2"/>
      <c r="M169" s="2"/>
      <c r="N169" s="2"/>
    </row>
    <row r="170" spans="1:14" ht="38.450000000000003" customHeight="1" x14ac:dyDescent="0.2">
      <c r="A170" s="66">
        <v>1216030</v>
      </c>
      <c r="B170" s="66">
        <v>6030</v>
      </c>
      <c r="C170" s="79" t="s">
        <v>33</v>
      </c>
      <c r="D170" s="47">
        <v>72480356</v>
      </c>
      <c r="E170" s="45">
        <f>E171</f>
        <v>4225960.4000000004</v>
      </c>
      <c r="F170" s="45">
        <f t="shared" si="39"/>
        <v>76706316.400000006</v>
      </c>
      <c r="G170" s="83"/>
      <c r="H170" s="7"/>
      <c r="I170" s="2"/>
      <c r="J170" s="2"/>
      <c r="K170" s="2"/>
      <c r="L170" s="2"/>
      <c r="M170" s="2"/>
      <c r="N170" s="2"/>
    </row>
    <row r="171" spans="1:14" ht="23.25" customHeight="1" x14ac:dyDescent="0.2">
      <c r="A171" s="56"/>
      <c r="B171" s="56"/>
      <c r="C171" s="48" t="s">
        <v>6</v>
      </c>
      <c r="D171" s="68">
        <v>72480356</v>
      </c>
      <c r="E171" s="55">
        <f>4225960.4</f>
        <v>4225960.4000000004</v>
      </c>
      <c r="F171" s="55">
        <f t="shared" si="39"/>
        <v>76706316.400000006</v>
      </c>
      <c r="G171" s="7"/>
      <c r="H171" s="7"/>
      <c r="I171" s="2"/>
      <c r="J171" s="2"/>
      <c r="K171" s="2"/>
      <c r="L171" s="2"/>
      <c r="M171" s="2"/>
      <c r="N171" s="2"/>
    </row>
    <row r="172" spans="1:14" ht="41.45" customHeight="1" x14ac:dyDescent="0.2">
      <c r="A172" s="66" t="s">
        <v>88</v>
      </c>
      <c r="B172" s="66" t="s">
        <v>34</v>
      </c>
      <c r="C172" s="79" t="s">
        <v>35</v>
      </c>
      <c r="D172" s="57">
        <v>5155168</v>
      </c>
      <c r="E172" s="57">
        <f>E173</f>
        <v>200000</v>
      </c>
      <c r="F172" s="45">
        <f t="shared" si="39"/>
        <v>5355168</v>
      </c>
      <c r="G172" s="7"/>
      <c r="H172" s="7"/>
      <c r="I172" s="2"/>
      <c r="J172" s="2"/>
      <c r="K172" s="2"/>
      <c r="L172" s="2"/>
      <c r="M172" s="2"/>
      <c r="N172" s="2"/>
    </row>
    <row r="173" spans="1:14" ht="26.45" customHeight="1" x14ac:dyDescent="0.2">
      <c r="A173" s="56"/>
      <c r="B173" s="56"/>
      <c r="C173" s="48" t="s">
        <v>6</v>
      </c>
      <c r="D173" s="68">
        <v>5155168</v>
      </c>
      <c r="E173" s="55">
        <f>140000+60000</f>
        <v>200000</v>
      </c>
      <c r="F173" s="55">
        <f t="shared" ref="F173:F176" si="40">D173+E173</f>
        <v>5355168</v>
      </c>
      <c r="G173" s="7"/>
      <c r="H173" s="7"/>
      <c r="I173" s="2"/>
      <c r="J173" s="2"/>
      <c r="K173" s="2"/>
      <c r="L173" s="2"/>
      <c r="M173" s="2"/>
      <c r="N173" s="2"/>
    </row>
    <row r="174" spans="1:14" ht="57" customHeight="1" x14ac:dyDescent="0.2">
      <c r="A174" s="66" t="s">
        <v>184</v>
      </c>
      <c r="B174" s="66" t="s">
        <v>185</v>
      </c>
      <c r="C174" s="79" t="s">
        <v>186</v>
      </c>
      <c r="D174" s="57">
        <v>49576469</v>
      </c>
      <c r="E174" s="57">
        <f>E175</f>
        <v>-60000</v>
      </c>
      <c r="F174" s="45">
        <f t="shared" si="40"/>
        <v>49516469</v>
      </c>
      <c r="G174" s="7"/>
      <c r="H174" s="7"/>
      <c r="I174" s="2"/>
      <c r="J174" s="2"/>
      <c r="K174" s="2"/>
      <c r="L174" s="2"/>
      <c r="M174" s="2"/>
      <c r="N174" s="2"/>
    </row>
    <row r="175" spans="1:14" ht="26.45" customHeight="1" x14ac:dyDescent="0.2">
      <c r="A175" s="56"/>
      <c r="B175" s="56"/>
      <c r="C175" s="48" t="s">
        <v>6</v>
      </c>
      <c r="D175" s="68">
        <v>49500000</v>
      </c>
      <c r="E175" s="55">
        <v>-60000</v>
      </c>
      <c r="F175" s="55">
        <f t="shared" ref="F175" si="41">D175+E175</f>
        <v>49440000</v>
      </c>
      <c r="G175" s="7"/>
      <c r="H175" s="7"/>
      <c r="I175" s="2"/>
      <c r="J175" s="2"/>
      <c r="K175" s="2"/>
      <c r="L175" s="2"/>
      <c r="M175" s="2"/>
      <c r="N175" s="2"/>
    </row>
    <row r="176" spans="1:14" ht="41.45" customHeight="1" x14ac:dyDescent="0.2">
      <c r="A176" s="66" t="s">
        <v>89</v>
      </c>
      <c r="B176" s="66" t="s">
        <v>90</v>
      </c>
      <c r="C176" s="79" t="s">
        <v>91</v>
      </c>
      <c r="D176" s="57">
        <v>3324900</v>
      </c>
      <c r="E176" s="57">
        <f>E177</f>
        <v>1451263</v>
      </c>
      <c r="F176" s="45">
        <f t="shared" si="40"/>
        <v>4776163</v>
      </c>
      <c r="G176" s="7"/>
      <c r="H176" s="7"/>
      <c r="I176" s="2"/>
      <c r="J176" s="2"/>
      <c r="K176" s="2"/>
      <c r="L176" s="2"/>
      <c r="M176" s="2"/>
      <c r="N176" s="2"/>
    </row>
    <row r="177" spans="1:14" ht="26.45" customHeight="1" x14ac:dyDescent="0.2">
      <c r="A177" s="56"/>
      <c r="B177" s="56"/>
      <c r="C177" s="48" t="s">
        <v>6</v>
      </c>
      <c r="D177" s="68">
        <v>3324900</v>
      </c>
      <c r="E177" s="55">
        <f>1451263</f>
        <v>1451263</v>
      </c>
      <c r="F177" s="55">
        <f t="shared" ref="F177:F184" si="42">D177+E177</f>
        <v>4776163</v>
      </c>
      <c r="G177" s="7"/>
      <c r="H177" s="7"/>
      <c r="I177" s="2"/>
      <c r="J177" s="2"/>
      <c r="K177" s="2"/>
      <c r="L177" s="2"/>
      <c r="M177" s="2"/>
      <c r="N177" s="2"/>
    </row>
    <row r="178" spans="1:14" ht="34.15" customHeight="1" x14ac:dyDescent="0.2">
      <c r="A178" s="66" t="s">
        <v>92</v>
      </c>
      <c r="B178" s="66" t="s">
        <v>60</v>
      </c>
      <c r="C178" s="79" t="s">
        <v>59</v>
      </c>
      <c r="D178" s="57">
        <v>19058515</v>
      </c>
      <c r="E178" s="57">
        <f>E179</f>
        <v>672000</v>
      </c>
      <c r="F178" s="45">
        <f t="shared" si="42"/>
        <v>19730515</v>
      </c>
      <c r="G178" s="7"/>
      <c r="H178" s="7"/>
      <c r="I178" s="2"/>
      <c r="J178" s="2"/>
      <c r="K178" s="2"/>
      <c r="L178" s="2"/>
      <c r="M178" s="2"/>
      <c r="N178" s="2"/>
    </row>
    <row r="179" spans="1:14" ht="26.45" customHeight="1" x14ac:dyDescent="0.2">
      <c r="A179" s="56"/>
      <c r="B179" s="56"/>
      <c r="C179" s="48" t="s">
        <v>6</v>
      </c>
      <c r="D179" s="68">
        <v>19058515</v>
      </c>
      <c r="E179" s="55">
        <f>672000</f>
        <v>672000</v>
      </c>
      <c r="F179" s="55">
        <f t="shared" ref="F179" si="43">D179+E179</f>
        <v>19730515</v>
      </c>
      <c r="G179" s="7"/>
      <c r="H179" s="7"/>
      <c r="I179" s="2"/>
      <c r="J179" s="2"/>
      <c r="K179" s="2"/>
      <c r="L179" s="2"/>
      <c r="M179" s="2"/>
      <c r="N179" s="2"/>
    </row>
    <row r="180" spans="1:14" ht="38.450000000000003" customHeight="1" x14ac:dyDescent="0.2">
      <c r="A180" s="74">
        <v>1400000</v>
      </c>
      <c r="B180" s="49"/>
      <c r="C180" s="49" t="s">
        <v>114</v>
      </c>
      <c r="D180" s="30">
        <f>D181</f>
        <v>2299153.54</v>
      </c>
      <c r="E180" s="30">
        <f>E181</f>
        <v>0</v>
      </c>
      <c r="F180" s="30">
        <f t="shared" si="42"/>
        <v>2299153.54</v>
      </c>
      <c r="G180" s="7"/>
      <c r="H180" s="7"/>
      <c r="I180" s="2"/>
      <c r="J180" s="2"/>
      <c r="K180" s="2"/>
      <c r="L180" s="2"/>
      <c r="M180" s="2"/>
      <c r="N180" s="2"/>
    </row>
    <row r="181" spans="1:14" ht="43.9" customHeight="1" x14ac:dyDescent="0.2">
      <c r="A181" s="74">
        <v>1410000</v>
      </c>
      <c r="B181" s="49"/>
      <c r="C181" s="49" t="s">
        <v>114</v>
      </c>
      <c r="D181" s="30">
        <v>2299153.54</v>
      </c>
      <c r="E181" s="30">
        <f>E182</f>
        <v>0</v>
      </c>
      <c r="F181" s="30">
        <f t="shared" si="42"/>
        <v>2299153.54</v>
      </c>
      <c r="G181" s="7"/>
      <c r="H181" s="7"/>
      <c r="I181" s="2"/>
      <c r="J181" s="2"/>
      <c r="K181" s="2"/>
      <c r="L181" s="2"/>
      <c r="M181" s="2"/>
      <c r="N181" s="2"/>
    </row>
    <row r="182" spans="1:14" ht="148.5" x14ac:dyDescent="0.2">
      <c r="A182" s="66" t="s">
        <v>115</v>
      </c>
      <c r="B182" s="66" t="s">
        <v>65</v>
      </c>
      <c r="C182" s="102" t="s">
        <v>215</v>
      </c>
      <c r="D182" s="47">
        <f>SUM(D183:D184)</f>
        <v>2299153.54</v>
      </c>
      <c r="E182" s="45">
        <f>SUM(E183:E184)</f>
        <v>0</v>
      </c>
      <c r="F182" s="45">
        <f t="shared" si="42"/>
        <v>2299153.54</v>
      </c>
      <c r="G182" s="7"/>
      <c r="H182" s="7"/>
      <c r="I182" s="2"/>
      <c r="J182" s="2"/>
      <c r="K182" s="2"/>
      <c r="L182" s="2"/>
      <c r="M182" s="2"/>
      <c r="N182" s="2"/>
    </row>
    <row r="183" spans="1:14" ht="26.45" customHeight="1" x14ac:dyDescent="0.2">
      <c r="A183" s="56"/>
      <c r="B183" s="56"/>
      <c r="C183" s="48" t="s">
        <v>16</v>
      </c>
      <c r="D183" s="68">
        <v>960114.72</v>
      </c>
      <c r="E183" s="55">
        <f>-232501</f>
        <v>-232501</v>
      </c>
      <c r="F183" s="55">
        <f t="shared" si="42"/>
        <v>727613.72</v>
      </c>
      <c r="G183" s="7"/>
      <c r="H183" s="7"/>
      <c r="I183" s="2"/>
      <c r="J183" s="2"/>
      <c r="K183" s="2"/>
      <c r="L183" s="2"/>
      <c r="M183" s="2"/>
      <c r="N183" s="2"/>
    </row>
    <row r="184" spans="1:14" ht="26.45" customHeight="1" x14ac:dyDescent="0.2">
      <c r="A184" s="93"/>
      <c r="B184" s="94"/>
      <c r="C184" s="101" t="s">
        <v>116</v>
      </c>
      <c r="D184" s="69">
        <v>1339038.82</v>
      </c>
      <c r="E184" s="69">
        <v>232501</v>
      </c>
      <c r="F184" s="55">
        <f t="shared" si="42"/>
        <v>1571539.82</v>
      </c>
      <c r="G184" s="7"/>
      <c r="H184" s="7"/>
      <c r="I184" s="2"/>
      <c r="J184" s="2"/>
      <c r="K184" s="2"/>
      <c r="L184" s="2"/>
      <c r="M184" s="2"/>
      <c r="N184" s="2"/>
    </row>
    <row r="185" spans="1:14" ht="57" customHeight="1" x14ac:dyDescent="0.2">
      <c r="A185" s="74">
        <v>1500000</v>
      </c>
      <c r="B185" s="49"/>
      <c r="C185" s="49" t="s">
        <v>11</v>
      </c>
      <c r="D185" s="30">
        <f>D186</f>
        <v>131084901</v>
      </c>
      <c r="E185" s="30">
        <f>E186</f>
        <v>4825239</v>
      </c>
      <c r="F185" s="30">
        <f t="shared" ref="F185:F189" si="44">D185+E185</f>
        <v>135910140</v>
      </c>
      <c r="G185" s="7"/>
      <c r="H185" s="7"/>
      <c r="I185" s="2"/>
      <c r="J185" s="2"/>
      <c r="K185" s="2"/>
      <c r="L185" s="2"/>
      <c r="M185" s="2"/>
      <c r="N185" s="2"/>
    </row>
    <row r="186" spans="1:14" ht="54.6" customHeight="1" x14ac:dyDescent="0.2">
      <c r="A186" s="74">
        <v>1510000</v>
      </c>
      <c r="B186" s="49"/>
      <c r="C186" s="49" t="s">
        <v>11</v>
      </c>
      <c r="D186" s="30">
        <v>131084901</v>
      </c>
      <c r="E186" s="30">
        <f>E190+E192+E188</f>
        <v>4825239</v>
      </c>
      <c r="F186" s="30">
        <f t="shared" si="44"/>
        <v>135910140</v>
      </c>
      <c r="G186" s="7"/>
      <c r="H186" s="7"/>
      <c r="I186" s="2"/>
      <c r="J186" s="2"/>
      <c r="K186" s="2"/>
      <c r="L186" s="2"/>
      <c r="M186" s="2"/>
      <c r="N186" s="2"/>
    </row>
    <row r="187" spans="1:14" ht="24.75" customHeight="1" x14ac:dyDescent="0.2">
      <c r="A187" s="75"/>
      <c r="B187" s="67"/>
      <c r="C187" s="67" t="s">
        <v>6</v>
      </c>
      <c r="D187" s="46">
        <v>119015817</v>
      </c>
      <c r="E187" s="46">
        <f>E191+E193+E189</f>
        <v>4825239</v>
      </c>
      <c r="F187" s="46">
        <f t="shared" si="44"/>
        <v>123841056</v>
      </c>
      <c r="G187" s="7"/>
      <c r="H187" s="7"/>
      <c r="I187" s="2"/>
      <c r="J187" s="2"/>
      <c r="K187" s="2"/>
      <c r="L187" s="2"/>
      <c r="M187" s="2"/>
      <c r="N187" s="2"/>
    </row>
    <row r="188" spans="1:14" ht="37.5" x14ac:dyDescent="0.2">
      <c r="A188" s="66" t="s">
        <v>212</v>
      </c>
      <c r="B188" s="66" t="s">
        <v>34</v>
      </c>
      <c r="C188" s="79" t="s">
        <v>35</v>
      </c>
      <c r="D188" s="47">
        <f>D189</f>
        <v>34015847</v>
      </c>
      <c r="E188" s="45">
        <f>E189</f>
        <v>-450000</v>
      </c>
      <c r="F188" s="45">
        <f t="shared" si="44"/>
        <v>33565847</v>
      </c>
      <c r="G188" s="7"/>
      <c r="H188" s="7"/>
      <c r="I188" s="2"/>
      <c r="J188" s="2"/>
      <c r="K188" s="2"/>
      <c r="L188" s="2"/>
      <c r="M188" s="2"/>
      <c r="N188" s="2"/>
    </row>
    <row r="189" spans="1:14" ht="24.75" customHeight="1" x14ac:dyDescent="0.2">
      <c r="A189" s="56"/>
      <c r="B189" s="56"/>
      <c r="C189" s="48" t="s">
        <v>6</v>
      </c>
      <c r="D189" s="68">
        <v>34015847</v>
      </c>
      <c r="E189" s="55">
        <v>-450000</v>
      </c>
      <c r="F189" s="55">
        <f t="shared" si="44"/>
        <v>33565847</v>
      </c>
      <c r="G189" s="7"/>
      <c r="H189" s="7"/>
      <c r="I189" s="2"/>
      <c r="J189" s="2"/>
      <c r="K189" s="2"/>
      <c r="L189" s="2"/>
      <c r="M189" s="2"/>
      <c r="N189" s="2"/>
    </row>
    <row r="190" spans="1:14" ht="36.75" customHeight="1" x14ac:dyDescent="0.2">
      <c r="A190" s="66" t="s">
        <v>188</v>
      </c>
      <c r="B190" s="66" t="s">
        <v>189</v>
      </c>
      <c r="C190" s="79" t="s">
        <v>190</v>
      </c>
      <c r="D190" s="47">
        <v>28960710</v>
      </c>
      <c r="E190" s="45">
        <f>E191</f>
        <v>-150880</v>
      </c>
      <c r="F190" s="45">
        <f t="shared" ref="F190:F191" si="45">D190+E190</f>
        <v>28809830</v>
      </c>
      <c r="G190" s="54"/>
      <c r="H190" s="7"/>
      <c r="I190" s="2"/>
      <c r="J190" s="2"/>
      <c r="K190" s="2"/>
      <c r="L190" s="2"/>
      <c r="M190" s="2"/>
      <c r="N190" s="2"/>
    </row>
    <row r="191" spans="1:14" ht="25.9" customHeight="1" x14ac:dyDescent="0.2">
      <c r="A191" s="56"/>
      <c r="B191" s="56"/>
      <c r="C191" s="48" t="s">
        <v>6</v>
      </c>
      <c r="D191" s="68">
        <v>28960710</v>
      </c>
      <c r="E191" s="55">
        <f>300000-450880</f>
        <v>-150880</v>
      </c>
      <c r="F191" s="55">
        <f t="shared" si="45"/>
        <v>28809830</v>
      </c>
      <c r="G191" s="7"/>
      <c r="H191" s="7"/>
      <c r="I191" s="2"/>
      <c r="J191" s="2"/>
      <c r="K191" s="2"/>
      <c r="L191" s="2"/>
      <c r="M191" s="2"/>
      <c r="N191" s="2"/>
    </row>
    <row r="192" spans="1:14" ht="56.25" x14ac:dyDescent="0.2">
      <c r="A192" s="66" t="s">
        <v>191</v>
      </c>
      <c r="B192" s="66" t="s">
        <v>192</v>
      </c>
      <c r="C192" s="79" t="s">
        <v>193</v>
      </c>
      <c r="D192" s="47">
        <f>D193</f>
        <v>11411595</v>
      </c>
      <c r="E192" s="45">
        <f>E193</f>
        <v>5426119</v>
      </c>
      <c r="F192" s="45">
        <f t="shared" ref="F192" si="46">D192+E192</f>
        <v>16837714</v>
      </c>
      <c r="G192" s="7"/>
      <c r="H192" s="7"/>
      <c r="I192" s="2"/>
      <c r="J192" s="2"/>
      <c r="K192" s="2"/>
      <c r="L192" s="2"/>
      <c r="M192" s="2"/>
      <c r="N192" s="2"/>
    </row>
    <row r="193" spans="1:14" ht="23.45" customHeight="1" x14ac:dyDescent="0.2">
      <c r="A193" s="56"/>
      <c r="B193" s="56"/>
      <c r="C193" s="48" t="s">
        <v>6</v>
      </c>
      <c r="D193" s="68">
        <v>11411595</v>
      </c>
      <c r="E193" s="55">
        <f>5426119</f>
        <v>5426119</v>
      </c>
      <c r="F193" s="55">
        <f t="shared" ref="F193:F201" si="47">D193+E193</f>
        <v>16837714</v>
      </c>
      <c r="G193" s="7"/>
      <c r="H193" s="7"/>
      <c r="I193" s="2"/>
      <c r="J193" s="2"/>
      <c r="K193" s="2"/>
      <c r="L193" s="2"/>
      <c r="M193" s="2"/>
      <c r="N193" s="2"/>
    </row>
    <row r="194" spans="1:14" ht="43.9" customHeight="1" x14ac:dyDescent="0.2">
      <c r="A194" s="74">
        <v>1900000</v>
      </c>
      <c r="B194" s="27"/>
      <c r="C194" s="49" t="s">
        <v>94</v>
      </c>
      <c r="D194" s="30">
        <f>D195</f>
        <v>99774900</v>
      </c>
      <c r="E194" s="30">
        <f>E195</f>
        <v>12552400</v>
      </c>
      <c r="F194" s="30">
        <f t="shared" si="47"/>
        <v>112327300</v>
      </c>
      <c r="G194" s="7"/>
      <c r="H194" s="7"/>
      <c r="I194" s="2"/>
      <c r="J194" s="2"/>
      <c r="K194" s="2"/>
      <c r="L194" s="2"/>
      <c r="M194" s="2"/>
      <c r="N194" s="2"/>
    </row>
    <row r="195" spans="1:14" ht="45" customHeight="1" x14ac:dyDescent="0.2">
      <c r="A195" s="74">
        <v>1910000</v>
      </c>
      <c r="B195" s="49"/>
      <c r="C195" s="49" t="s">
        <v>94</v>
      </c>
      <c r="D195" s="30">
        <v>99774900</v>
      </c>
      <c r="E195" s="30">
        <f>E197+E199+E201</f>
        <v>12552400</v>
      </c>
      <c r="F195" s="30">
        <f t="shared" si="47"/>
        <v>112327300</v>
      </c>
      <c r="G195" s="7"/>
      <c r="H195" s="7"/>
      <c r="I195" s="2"/>
      <c r="J195" s="2"/>
      <c r="K195" s="2"/>
      <c r="L195" s="2"/>
      <c r="M195" s="2"/>
      <c r="N195" s="2"/>
    </row>
    <row r="196" spans="1:14" ht="23.45" customHeight="1" x14ac:dyDescent="0.2">
      <c r="A196" s="75"/>
      <c r="B196" s="67"/>
      <c r="C196" s="67" t="s">
        <v>6</v>
      </c>
      <c r="D196" s="46">
        <v>99774900</v>
      </c>
      <c r="E196" s="46">
        <f>E198+E200+E202</f>
        <v>12552400</v>
      </c>
      <c r="F196" s="46">
        <f t="shared" si="47"/>
        <v>112327300</v>
      </c>
      <c r="G196" s="7"/>
      <c r="H196" s="7"/>
      <c r="I196" s="2"/>
      <c r="J196" s="2"/>
      <c r="K196" s="2"/>
      <c r="L196" s="2"/>
      <c r="M196" s="2"/>
      <c r="N196" s="2"/>
    </row>
    <row r="197" spans="1:14" ht="23.45" customHeight="1" x14ac:dyDescent="0.2">
      <c r="A197" s="66" t="s">
        <v>97</v>
      </c>
      <c r="B197" s="66" t="s">
        <v>96</v>
      </c>
      <c r="C197" s="79" t="s">
        <v>95</v>
      </c>
      <c r="D197" s="47">
        <v>0</v>
      </c>
      <c r="E197" s="45">
        <f>E198</f>
        <v>7600000</v>
      </c>
      <c r="F197" s="45">
        <f t="shared" si="47"/>
        <v>7600000</v>
      </c>
      <c r="G197" s="7"/>
      <c r="H197" s="7"/>
      <c r="I197" s="2"/>
      <c r="J197" s="2"/>
      <c r="K197" s="2"/>
      <c r="L197" s="2"/>
      <c r="M197" s="2"/>
      <c r="N197" s="2"/>
    </row>
    <row r="198" spans="1:14" ht="23.45" customHeight="1" x14ac:dyDescent="0.2">
      <c r="A198" s="56"/>
      <c r="B198" s="56"/>
      <c r="C198" s="48" t="s">
        <v>6</v>
      </c>
      <c r="D198" s="68">
        <v>0</v>
      </c>
      <c r="E198" s="55">
        <f>7600000</f>
        <v>7600000</v>
      </c>
      <c r="F198" s="55">
        <f t="shared" si="47"/>
        <v>7600000</v>
      </c>
      <c r="G198" s="7"/>
      <c r="H198" s="7"/>
      <c r="I198" s="2"/>
      <c r="J198" s="2"/>
      <c r="K198" s="2"/>
      <c r="L198" s="2"/>
      <c r="M198" s="2"/>
      <c r="N198" s="2"/>
    </row>
    <row r="199" spans="1:14" ht="23.45" customHeight="1" x14ac:dyDescent="0.2">
      <c r="A199" s="66">
        <v>1917426</v>
      </c>
      <c r="B199" s="66">
        <v>7426</v>
      </c>
      <c r="C199" s="79" t="s">
        <v>134</v>
      </c>
      <c r="D199" s="47">
        <f>D200</f>
        <v>50400000</v>
      </c>
      <c r="E199" s="45">
        <f>E200</f>
        <v>3000000</v>
      </c>
      <c r="F199" s="45">
        <f t="shared" si="47"/>
        <v>53400000</v>
      </c>
      <c r="G199" s="7"/>
      <c r="H199" s="7"/>
      <c r="I199" s="2"/>
      <c r="J199" s="2"/>
      <c r="K199" s="2"/>
      <c r="L199" s="2"/>
      <c r="M199" s="2"/>
      <c r="N199" s="2"/>
    </row>
    <row r="200" spans="1:14" ht="23.45" customHeight="1" x14ac:dyDescent="0.2">
      <c r="A200" s="56"/>
      <c r="B200" s="56"/>
      <c r="C200" s="48" t="s">
        <v>6</v>
      </c>
      <c r="D200" s="68">
        <v>50400000</v>
      </c>
      <c r="E200" s="55">
        <f>3000000</f>
        <v>3000000</v>
      </c>
      <c r="F200" s="55">
        <f t="shared" ref="F200" si="48">D200+E200</f>
        <v>53400000</v>
      </c>
      <c r="G200" s="7"/>
      <c r="H200" s="7"/>
      <c r="I200" s="2"/>
      <c r="J200" s="2"/>
      <c r="K200" s="2"/>
      <c r="L200" s="2"/>
      <c r="M200" s="2"/>
      <c r="N200" s="2"/>
    </row>
    <row r="201" spans="1:14" ht="44.45" customHeight="1" x14ac:dyDescent="0.2">
      <c r="A201" s="66" t="s">
        <v>194</v>
      </c>
      <c r="B201" s="66" t="s">
        <v>90</v>
      </c>
      <c r="C201" s="79" t="s">
        <v>91</v>
      </c>
      <c r="D201" s="47">
        <f>D202</f>
        <v>29182400</v>
      </c>
      <c r="E201" s="45">
        <f>E202</f>
        <v>1952400</v>
      </c>
      <c r="F201" s="45">
        <f t="shared" si="47"/>
        <v>31134800</v>
      </c>
      <c r="G201" s="7"/>
      <c r="H201" s="7"/>
      <c r="I201" s="2"/>
      <c r="J201" s="2"/>
      <c r="K201" s="2"/>
      <c r="L201" s="2"/>
      <c r="M201" s="2"/>
      <c r="N201" s="2"/>
    </row>
    <row r="202" spans="1:14" ht="19.5" thickBot="1" x14ac:dyDescent="0.25">
      <c r="A202" s="56"/>
      <c r="B202" s="56"/>
      <c r="C202" s="48" t="s">
        <v>6</v>
      </c>
      <c r="D202" s="68">
        <v>29182400</v>
      </c>
      <c r="E202" s="55">
        <f>1802400+150000</f>
        <v>1952400</v>
      </c>
      <c r="F202" s="55">
        <f t="shared" ref="F202:F203" si="49">D202+E202</f>
        <v>31134800</v>
      </c>
      <c r="G202" s="7"/>
      <c r="H202" s="81"/>
      <c r="I202" s="86"/>
      <c r="J202" s="81"/>
      <c r="K202" s="87"/>
      <c r="L202" s="2"/>
      <c r="M202" s="2"/>
      <c r="N202" s="2"/>
    </row>
    <row r="203" spans="1:14" ht="57" thickBot="1" x14ac:dyDescent="0.35">
      <c r="A203" s="11"/>
      <c r="B203" s="11"/>
      <c r="C203" s="37" t="s">
        <v>19</v>
      </c>
      <c r="D203" s="43">
        <f>D34+D126</f>
        <v>7707529393.0900002</v>
      </c>
      <c r="E203" s="43">
        <f>E34+E126</f>
        <v>92570607.400000006</v>
      </c>
      <c r="F203" s="43">
        <f t="shared" si="49"/>
        <v>7800100000.4899998</v>
      </c>
      <c r="G203" s="133"/>
      <c r="H203" s="81"/>
      <c r="I203" s="86"/>
      <c r="J203" s="81"/>
      <c r="K203" s="87"/>
      <c r="L203" s="2"/>
      <c r="M203" s="2"/>
      <c r="N203" s="2"/>
    </row>
    <row r="204" spans="1:14" ht="39.6" customHeight="1" thickBot="1" x14ac:dyDescent="0.35">
      <c r="A204" s="11"/>
      <c r="B204" s="62"/>
      <c r="C204" s="37" t="s">
        <v>9</v>
      </c>
      <c r="D204" s="26">
        <f>D205+D206</f>
        <v>-510440478.83999997</v>
      </c>
      <c r="E204" s="26">
        <f>E205+E206</f>
        <v>-29546232</v>
      </c>
      <c r="F204" s="26">
        <f t="shared" ref="F204:F209" si="50">D204+E204</f>
        <v>-539986710.83999991</v>
      </c>
      <c r="G204" s="7"/>
      <c r="H204" s="81"/>
      <c r="I204" s="88"/>
      <c r="J204" s="81"/>
      <c r="K204" s="2"/>
      <c r="L204" s="2"/>
      <c r="M204" s="2"/>
      <c r="N204" s="2"/>
    </row>
    <row r="205" spans="1:14" ht="69.599999999999994" customHeight="1" thickBot="1" x14ac:dyDescent="0.35">
      <c r="A205" s="58"/>
      <c r="B205" s="58"/>
      <c r="C205" s="59" t="s">
        <v>39</v>
      </c>
      <c r="D205" s="60">
        <v>152568265.44999999</v>
      </c>
      <c r="E205" s="60">
        <v>303378.40000000002</v>
      </c>
      <c r="F205" s="60">
        <f t="shared" si="50"/>
        <v>152871643.84999999</v>
      </c>
      <c r="G205" s="7"/>
      <c r="H205" s="81"/>
      <c r="I205" s="88"/>
      <c r="J205" s="81"/>
      <c r="K205" s="2"/>
      <c r="L205" s="2"/>
      <c r="M205" s="2"/>
      <c r="N205" s="2"/>
    </row>
    <row r="206" spans="1:14" ht="66.599999999999994" customHeight="1" thickBot="1" x14ac:dyDescent="0.25">
      <c r="A206" s="22"/>
      <c r="B206" s="65"/>
      <c r="C206" s="40" t="s">
        <v>4</v>
      </c>
      <c r="D206" s="44">
        <f>-D209</f>
        <v>-663008744.28999996</v>
      </c>
      <c r="E206" s="44">
        <f>-E209</f>
        <v>-29849610.399999999</v>
      </c>
      <c r="F206" s="44">
        <f t="shared" si="50"/>
        <v>-692858354.68999994</v>
      </c>
      <c r="G206" s="7"/>
      <c r="H206" s="81"/>
      <c r="I206" s="88"/>
      <c r="J206" s="7"/>
      <c r="K206" s="81"/>
      <c r="L206" s="2"/>
      <c r="M206" s="2"/>
      <c r="N206" s="2"/>
    </row>
    <row r="207" spans="1:14" ht="40.15" customHeight="1" thickBot="1" x14ac:dyDescent="0.35">
      <c r="A207" s="11"/>
      <c r="B207" s="62"/>
      <c r="C207" s="37" t="s">
        <v>10</v>
      </c>
      <c r="D207" s="26">
        <f>SUM(D208:D209)+6002838</f>
        <v>709236713.92999995</v>
      </c>
      <c r="E207" s="26">
        <f>SUM(E208:E209)</f>
        <v>29849610.399999999</v>
      </c>
      <c r="F207" s="26">
        <f t="shared" si="50"/>
        <v>739086324.32999992</v>
      </c>
      <c r="G207" s="7"/>
      <c r="H207" s="81"/>
      <c r="I207" s="88"/>
      <c r="J207" s="7"/>
      <c r="K207" s="81"/>
      <c r="L207" s="2"/>
      <c r="M207" s="2"/>
      <c r="N207" s="2"/>
    </row>
    <row r="208" spans="1:14" ht="73.150000000000006" hidden="1" customHeight="1" thickBot="1" x14ac:dyDescent="0.25">
      <c r="A208" s="61"/>
      <c r="B208" s="61"/>
      <c r="C208" s="59" t="s">
        <v>40</v>
      </c>
      <c r="D208" s="60">
        <v>40225131.640000001</v>
      </c>
      <c r="E208" s="44"/>
      <c r="F208" s="60">
        <f t="shared" si="50"/>
        <v>40225131.640000001</v>
      </c>
      <c r="G208" s="7"/>
      <c r="H208" s="81"/>
      <c r="I208" s="88"/>
      <c r="J208" s="7"/>
      <c r="K208" s="88"/>
      <c r="L208" s="2"/>
      <c r="M208" s="2"/>
      <c r="N208" s="2"/>
    </row>
    <row r="209" spans="1:14" ht="56.25" customHeight="1" thickBot="1" x14ac:dyDescent="0.25">
      <c r="A209" s="22"/>
      <c r="B209" s="65"/>
      <c r="C209" s="40" t="s">
        <v>5</v>
      </c>
      <c r="D209" s="44">
        <v>663008744.28999996</v>
      </c>
      <c r="E209" s="44">
        <f>E127</f>
        <v>29849610.399999999</v>
      </c>
      <c r="F209" s="44">
        <f t="shared" si="50"/>
        <v>692858354.68999994</v>
      </c>
      <c r="G209" s="7"/>
      <c r="H209" s="2"/>
      <c r="I209" s="81"/>
      <c r="J209" s="89"/>
      <c r="K209" s="81"/>
      <c r="L209" s="2"/>
      <c r="M209" s="2"/>
      <c r="N209" s="2"/>
    </row>
    <row r="210" spans="1:14" ht="53.45" customHeight="1" x14ac:dyDescent="0.2">
      <c r="A210" s="23"/>
      <c r="B210" s="23"/>
      <c r="C210" s="24"/>
      <c r="D210" s="7"/>
      <c r="E210" s="7"/>
      <c r="F210" s="7"/>
      <c r="G210" s="7"/>
      <c r="H210" s="2"/>
      <c r="J210" s="7"/>
      <c r="K210" s="76"/>
    </row>
    <row r="211" spans="1:14" ht="78" customHeight="1" x14ac:dyDescent="0.35">
      <c r="A211" s="152" t="s">
        <v>66</v>
      </c>
      <c r="B211" s="152"/>
      <c r="C211" s="152"/>
      <c r="D211" s="95"/>
      <c r="E211" s="53" t="s">
        <v>67</v>
      </c>
      <c r="F211" s="12"/>
      <c r="G211" s="12"/>
      <c r="H211" s="81"/>
      <c r="J211" s="31"/>
      <c r="K211" s="31"/>
      <c r="L211" s="31"/>
    </row>
    <row r="212" spans="1:14" ht="23.25" customHeight="1" x14ac:dyDescent="0.35">
      <c r="A212" s="15"/>
      <c r="B212" s="15"/>
      <c r="C212" s="13"/>
      <c r="D212" s="10"/>
      <c r="E212" s="14"/>
      <c r="F212" s="12"/>
      <c r="G212" s="12"/>
      <c r="H212" s="81"/>
      <c r="J212" s="31"/>
      <c r="K212" s="31"/>
      <c r="L212" s="31"/>
    </row>
    <row r="213" spans="1:14" ht="20.25" x14ac:dyDescent="0.3">
      <c r="A213" s="10"/>
      <c r="B213" s="10"/>
      <c r="E213" s="10"/>
      <c r="F213" s="5"/>
      <c r="G213" s="5"/>
      <c r="H213" s="2"/>
      <c r="J213" s="31"/>
      <c r="K213" s="31"/>
      <c r="L213" s="31"/>
    </row>
    <row r="214" spans="1:14" ht="18.75" x14ac:dyDescent="0.3">
      <c r="A214" s="8"/>
      <c r="B214" s="8"/>
      <c r="C214" s="9"/>
      <c r="D214" s="5"/>
      <c r="E214" s="5"/>
      <c r="F214" s="5"/>
      <c r="G214" s="5"/>
      <c r="H214" s="2"/>
    </row>
    <row r="215" spans="1:14" ht="18.75" x14ac:dyDescent="0.3">
      <c r="A215" s="8"/>
      <c r="B215" s="8"/>
      <c r="C215" s="9"/>
      <c r="D215" s="5"/>
      <c r="E215" s="25"/>
      <c r="F215" s="5"/>
      <c r="G215" s="5"/>
      <c r="H215" s="2"/>
    </row>
    <row r="216" spans="1:14" ht="18.75" x14ac:dyDescent="0.3">
      <c r="A216" s="8"/>
      <c r="B216" s="8"/>
      <c r="C216" s="9"/>
      <c r="D216" s="5"/>
      <c r="E216" s="5"/>
      <c r="F216" s="5"/>
      <c r="G216" s="5"/>
      <c r="H216" s="2"/>
      <c r="I216" s="33"/>
      <c r="J216" s="33"/>
      <c r="K216" s="33"/>
    </row>
    <row r="217" spans="1:14" ht="18.75" x14ac:dyDescent="0.3">
      <c r="A217" s="8"/>
      <c r="B217" s="8"/>
      <c r="C217" s="9"/>
      <c r="D217" s="5"/>
      <c r="E217" s="5"/>
      <c r="F217" s="5"/>
      <c r="G217" s="5"/>
      <c r="H217" s="2"/>
    </row>
    <row r="218" spans="1:14" ht="18.75" x14ac:dyDescent="0.3">
      <c r="A218" s="8"/>
      <c r="B218" s="8"/>
      <c r="C218" s="9"/>
      <c r="D218" s="5"/>
      <c r="E218" s="5"/>
      <c r="F218" s="5"/>
      <c r="G218" s="5"/>
      <c r="H218" s="2"/>
    </row>
    <row r="219" spans="1:14" ht="18.75" x14ac:dyDescent="0.3">
      <c r="A219" s="8"/>
      <c r="B219" s="8"/>
      <c r="C219" s="9"/>
      <c r="D219" s="5"/>
      <c r="E219" s="5"/>
      <c r="F219" s="5"/>
      <c r="G219" s="5"/>
      <c r="H219" s="2"/>
    </row>
    <row r="220" spans="1:14" ht="18.75" x14ac:dyDescent="0.3">
      <c r="A220" s="8"/>
      <c r="B220" s="8"/>
      <c r="C220" s="9"/>
      <c r="D220" s="5"/>
      <c r="E220" s="5"/>
      <c r="F220" s="5"/>
      <c r="G220" s="5"/>
      <c r="H220" s="2"/>
    </row>
    <row r="221" spans="1:14" ht="18.75" x14ac:dyDescent="0.3">
      <c r="A221" s="8"/>
      <c r="B221" s="8"/>
      <c r="C221" s="9"/>
      <c r="D221" s="5"/>
      <c r="E221" s="5"/>
      <c r="F221" s="5"/>
      <c r="G221" s="5"/>
      <c r="H221" s="2"/>
    </row>
    <row r="222" spans="1:14" ht="18.75" x14ac:dyDescent="0.3">
      <c r="A222" s="8"/>
      <c r="B222" s="8"/>
      <c r="C222" s="9"/>
      <c r="D222" s="5"/>
      <c r="E222" s="5"/>
      <c r="F222" s="5"/>
      <c r="G222" s="5"/>
      <c r="H222" s="2"/>
    </row>
    <row r="223" spans="1:14" ht="18.75" x14ac:dyDescent="0.3">
      <c r="A223" s="8"/>
      <c r="B223" s="8"/>
      <c r="C223" s="9"/>
      <c r="D223" s="5"/>
      <c r="E223" s="5"/>
      <c r="F223" s="5"/>
      <c r="G223" s="5"/>
      <c r="H223" s="2"/>
    </row>
    <row r="224" spans="1:14" ht="18.75" x14ac:dyDescent="0.3">
      <c r="A224" s="8"/>
      <c r="B224" s="8"/>
      <c r="C224" s="9"/>
      <c r="D224" s="5"/>
      <c r="E224" s="5"/>
      <c r="F224" s="5"/>
      <c r="G224" s="5"/>
      <c r="H224" s="2"/>
    </row>
    <row r="225" spans="1:8" x14ac:dyDescent="0.2">
      <c r="A225" s="3"/>
      <c r="B225" s="3"/>
      <c r="C225" s="2"/>
      <c r="H225" s="2"/>
    </row>
    <row r="226" spans="1:8" x14ac:dyDescent="0.2">
      <c r="A226" s="3"/>
      <c r="B226" s="3"/>
      <c r="C226" s="2"/>
      <c r="H226" s="2"/>
    </row>
    <row r="227" spans="1:8" x14ac:dyDescent="0.2">
      <c r="A227" s="3"/>
      <c r="B227" s="3"/>
      <c r="C227" s="2"/>
      <c r="H227" s="2"/>
    </row>
    <row r="228" spans="1:8" x14ac:dyDescent="0.2">
      <c r="A228" s="3"/>
      <c r="B228" s="3"/>
      <c r="C228" s="2"/>
      <c r="H228" s="2"/>
    </row>
    <row r="229" spans="1:8" x14ac:dyDescent="0.2">
      <c r="A229" s="3"/>
      <c r="B229" s="3"/>
      <c r="C229" s="2"/>
      <c r="H229" s="2"/>
    </row>
    <row r="230" spans="1:8" x14ac:dyDescent="0.2">
      <c r="A230" s="3"/>
      <c r="B230" s="3"/>
      <c r="C230" s="2"/>
      <c r="H230" s="2"/>
    </row>
    <row r="231" spans="1:8" x14ac:dyDescent="0.2">
      <c r="A231" s="3"/>
      <c r="B231" s="3"/>
      <c r="C231" s="2"/>
      <c r="H231" s="2"/>
    </row>
    <row r="232" spans="1:8" x14ac:dyDescent="0.2">
      <c r="A232" s="3"/>
      <c r="B232" s="3"/>
      <c r="C232" s="2"/>
      <c r="H232" s="2"/>
    </row>
    <row r="233" spans="1:8" x14ac:dyDescent="0.2">
      <c r="A233" s="3"/>
      <c r="B233" s="3"/>
      <c r="C233" s="2"/>
      <c r="H233" s="2"/>
    </row>
    <row r="234" spans="1:8" x14ac:dyDescent="0.2">
      <c r="A234" s="3"/>
      <c r="B234" s="3"/>
      <c r="C234" s="2"/>
      <c r="H234" s="2"/>
    </row>
    <row r="235" spans="1:8" x14ac:dyDescent="0.2">
      <c r="A235" s="3"/>
      <c r="B235" s="3"/>
      <c r="C235" s="2"/>
      <c r="H235" s="2"/>
    </row>
    <row r="236" spans="1:8" x14ac:dyDescent="0.2">
      <c r="A236" s="3"/>
      <c r="B236" s="3"/>
      <c r="C236" s="2"/>
      <c r="H236" s="2"/>
    </row>
    <row r="237" spans="1:8" x14ac:dyDescent="0.2">
      <c r="A237" s="3"/>
      <c r="B237" s="3"/>
      <c r="C237" s="2"/>
      <c r="H237" s="2"/>
    </row>
    <row r="238" spans="1:8" x14ac:dyDescent="0.2">
      <c r="A238" s="3"/>
      <c r="B238" s="3"/>
      <c r="C238" s="2"/>
      <c r="H238" s="2"/>
    </row>
    <row r="239" spans="1:8" x14ac:dyDescent="0.2">
      <c r="A239" s="3"/>
      <c r="B239" s="3"/>
      <c r="C239" s="2"/>
      <c r="H239" s="2"/>
    </row>
    <row r="240" spans="1:8" x14ac:dyDescent="0.2">
      <c r="A240" s="3"/>
      <c r="B240" s="3"/>
      <c r="C240" s="2"/>
      <c r="H240" s="2"/>
    </row>
    <row r="241" spans="1:8" x14ac:dyDescent="0.2">
      <c r="A241" s="3"/>
      <c r="B241" s="3"/>
      <c r="C241" s="2"/>
      <c r="H241" s="2"/>
    </row>
    <row r="242" spans="1:8" x14ac:dyDescent="0.2">
      <c r="A242" s="3"/>
      <c r="B242" s="3"/>
      <c r="C242" s="2"/>
      <c r="H242" s="2"/>
    </row>
    <row r="243" spans="1:8" x14ac:dyDescent="0.2">
      <c r="A243" s="3"/>
      <c r="B243" s="3"/>
      <c r="C243" s="2"/>
      <c r="H243" s="2"/>
    </row>
    <row r="244" spans="1:8" x14ac:dyDescent="0.2">
      <c r="A244" s="3"/>
      <c r="B244" s="3"/>
      <c r="C244" s="2"/>
      <c r="H244" s="2"/>
    </row>
    <row r="245" spans="1:8" x14ac:dyDescent="0.2">
      <c r="A245" s="3"/>
      <c r="B245" s="3"/>
      <c r="C245" s="2"/>
      <c r="H245" s="2"/>
    </row>
    <row r="246" spans="1:8" x14ac:dyDescent="0.2">
      <c r="A246" s="3"/>
      <c r="B246" s="3"/>
      <c r="C246" s="2"/>
      <c r="H246" s="2"/>
    </row>
    <row r="247" spans="1:8" x14ac:dyDescent="0.2">
      <c r="A247" s="3"/>
      <c r="B247" s="3"/>
      <c r="C247" s="2"/>
      <c r="H247" s="2"/>
    </row>
    <row r="248" spans="1:8" x14ac:dyDescent="0.2">
      <c r="A248" s="3"/>
      <c r="B248" s="3"/>
      <c r="C248" s="2"/>
      <c r="H248" s="2"/>
    </row>
    <row r="249" spans="1:8" x14ac:dyDescent="0.2">
      <c r="A249" s="3"/>
      <c r="B249" s="3"/>
      <c r="C249" s="2"/>
      <c r="H249" s="2"/>
    </row>
    <row r="250" spans="1:8" x14ac:dyDescent="0.2">
      <c r="A250" s="3"/>
      <c r="B250" s="3"/>
      <c r="C250" s="2"/>
      <c r="H250" s="2"/>
    </row>
    <row r="251" spans="1:8" x14ac:dyDescent="0.2">
      <c r="A251" s="3"/>
      <c r="B251" s="3"/>
      <c r="C251" s="2"/>
      <c r="H251" s="2"/>
    </row>
    <row r="252" spans="1:8" x14ac:dyDescent="0.2">
      <c r="A252" s="3"/>
      <c r="B252" s="3"/>
      <c r="C252" s="2"/>
      <c r="H252" s="2"/>
    </row>
    <row r="253" spans="1:8" x14ac:dyDescent="0.2">
      <c r="A253" s="3"/>
      <c r="B253" s="3"/>
      <c r="C253" s="2"/>
      <c r="H253" s="2"/>
    </row>
    <row r="254" spans="1:8" x14ac:dyDescent="0.2">
      <c r="A254" s="3"/>
      <c r="B254" s="3"/>
      <c r="C254" s="2"/>
      <c r="H254" s="2"/>
    </row>
    <row r="255" spans="1:8" x14ac:dyDescent="0.2">
      <c r="A255" s="3"/>
      <c r="B255" s="3"/>
      <c r="C255" s="2"/>
    </row>
    <row r="256" spans="1:8" x14ac:dyDescent="0.2">
      <c r="A256" s="3"/>
      <c r="B256" s="3"/>
      <c r="C256" s="2"/>
    </row>
    <row r="257" spans="1:3" x14ac:dyDescent="0.2">
      <c r="A257" s="3"/>
      <c r="B257" s="3"/>
      <c r="C257" s="2"/>
    </row>
    <row r="258" spans="1:3" x14ac:dyDescent="0.2">
      <c r="A258" s="3"/>
      <c r="B258" s="3"/>
      <c r="C258" s="2"/>
    </row>
    <row r="259" spans="1:3" x14ac:dyDescent="0.2">
      <c r="A259" s="3"/>
      <c r="B259" s="3"/>
      <c r="C259" s="2"/>
    </row>
    <row r="260" spans="1:3" x14ac:dyDescent="0.2">
      <c r="A260" s="3"/>
      <c r="B260" s="3"/>
      <c r="C260" s="2"/>
    </row>
    <row r="261" spans="1:3" x14ac:dyDescent="0.2">
      <c r="A261" s="3"/>
      <c r="B261" s="3"/>
      <c r="C261" s="2"/>
    </row>
    <row r="262" spans="1:3" x14ac:dyDescent="0.2">
      <c r="A262" s="3"/>
      <c r="B262" s="3"/>
      <c r="C262" s="2"/>
    </row>
    <row r="263" spans="1:3" x14ac:dyDescent="0.2">
      <c r="A263" s="3"/>
      <c r="B263" s="3"/>
      <c r="C263" s="2"/>
    </row>
    <row r="264" spans="1:3" x14ac:dyDescent="0.2">
      <c r="A264" s="3"/>
      <c r="B264" s="3"/>
      <c r="C264" s="2"/>
    </row>
    <row r="265" spans="1:3" x14ac:dyDescent="0.2">
      <c r="A265" s="3"/>
      <c r="B265" s="3"/>
      <c r="C265" s="2"/>
    </row>
    <row r="266" spans="1:3" x14ac:dyDescent="0.2">
      <c r="A266" s="3"/>
      <c r="B266" s="3"/>
      <c r="C266" s="2"/>
    </row>
    <row r="267" spans="1:3" x14ac:dyDescent="0.2">
      <c r="A267" s="3"/>
      <c r="B267" s="3"/>
      <c r="C267" s="2"/>
    </row>
    <row r="268" spans="1:3" x14ac:dyDescent="0.2">
      <c r="A268" s="3"/>
      <c r="B268" s="3"/>
      <c r="C268" s="2"/>
    </row>
    <row r="269" spans="1:3" x14ac:dyDescent="0.2">
      <c r="A269" s="3"/>
      <c r="B269" s="3"/>
      <c r="C269" s="2"/>
    </row>
    <row r="270" spans="1:3" x14ac:dyDescent="0.2">
      <c r="A270" s="3"/>
      <c r="B270" s="3"/>
      <c r="C270" s="2"/>
    </row>
    <row r="271" spans="1:3" x14ac:dyDescent="0.2">
      <c r="A271" s="3"/>
      <c r="B271" s="3"/>
      <c r="C271" s="2"/>
    </row>
    <row r="272" spans="1:3" x14ac:dyDescent="0.2">
      <c r="A272" s="3"/>
      <c r="B272" s="3"/>
      <c r="C272" s="2"/>
    </row>
    <row r="273" spans="1:3" x14ac:dyDescent="0.2">
      <c r="A273" s="3"/>
      <c r="B273" s="3"/>
      <c r="C273" s="2"/>
    </row>
    <row r="274" spans="1:3" x14ac:dyDescent="0.2">
      <c r="A274" s="3"/>
      <c r="B274" s="3"/>
      <c r="C274" s="2"/>
    </row>
    <row r="275" spans="1:3" x14ac:dyDescent="0.2">
      <c r="A275" s="3"/>
      <c r="B275" s="3"/>
      <c r="C275" s="2"/>
    </row>
    <row r="276" spans="1:3" x14ac:dyDescent="0.2">
      <c r="A276" s="3"/>
      <c r="B276" s="3"/>
      <c r="C276" s="2"/>
    </row>
    <row r="277" spans="1:3" x14ac:dyDescent="0.2">
      <c r="A277" s="3"/>
      <c r="B277" s="3"/>
      <c r="C277" s="2"/>
    </row>
    <row r="278" spans="1:3" x14ac:dyDescent="0.2">
      <c r="A278" s="3"/>
      <c r="B278" s="3"/>
      <c r="C278" s="2"/>
    </row>
    <row r="279" spans="1:3" x14ac:dyDescent="0.2">
      <c r="A279" s="3"/>
      <c r="B279" s="3"/>
      <c r="C279" s="2"/>
    </row>
    <row r="280" spans="1:3" x14ac:dyDescent="0.2">
      <c r="A280" s="3"/>
      <c r="B280" s="3"/>
      <c r="C280" s="2"/>
    </row>
    <row r="281" spans="1:3" x14ac:dyDescent="0.2">
      <c r="A281" s="3"/>
      <c r="B281" s="3"/>
      <c r="C281" s="2"/>
    </row>
    <row r="282" spans="1:3" x14ac:dyDescent="0.2">
      <c r="A282" s="3"/>
      <c r="B282" s="3"/>
      <c r="C282" s="2"/>
    </row>
    <row r="283" spans="1:3" x14ac:dyDescent="0.2">
      <c r="A283" s="3"/>
      <c r="B283" s="3"/>
      <c r="C283" s="2"/>
    </row>
    <row r="284" spans="1:3" x14ac:dyDescent="0.2">
      <c r="A284" s="3"/>
      <c r="B284" s="3"/>
      <c r="C284" s="2"/>
    </row>
    <row r="285" spans="1:3" x14ac:dyDescent="0.2">
      <c r="A285" s="3"/>
      <c r="B285" s="3"/>
      <c r="C285" s="2"/>
    </row>
    <row r="286" spans="1:3" x14ac:dyDescent="0.2">
      <c r="A286" s="3"/>
      <c r="B286" s="3"/>
      <c r="C286" s="2"/>
    </row>
    <row r="287" spans="1:3" x14ac:dyDescent="0.2">
      <c r="A287" s="3"/>
      <c r="B287" s="3"/>
      <c r="C287" s="2"/>
    </row>
    <row r="288" spans="1:3" x14ac:dyDescent="0.2">
      <c r="A288" s="3"/>
      <c r="B288" s="3"/>
      <c r="C288" s="2"/>
    </row>
    <row r="289" spans="1:2" x14ac:dyDescent="0.2">
      <c r="A289" s="3"/>
      <c r="B289" s="3"/>
    </row>
    <row r="290" spans="1:2" x14ac:dyDescent="0.2">
      <c r="A290" s="3"/>
      <c r="B290" s="3"/>
    </row>
    <row r="291" spans="1:2" x14ac:dyDescent="0.2">
      <c r="A291" s="3"/>
      <c r="B291" s="3"/>
    </row>
    <row r="292" spans="1:2" x14ac:dyDescent="0.2">
      <c r="A292" s="3"/>
      <c r="B292" s="3"/>
    </row>
    <row r="293" spans="1:2" x14ac:dyDescent="0.2">
      <c r="A293" s="3"/>
      <c r="B293" s="3"/>
    </row>
    <row r="294" spans="1:2" x14ac:dyDescent="0.2">
      <c r="A294" s="3"/>
      <c r="B294" s="3"/>
    </row>
    <row r="295" spans="1:2" x14ac:dyDescent="0.2">
      <c r="A295" s="3"/>
      <c r="B295" s="3"/>
    </row>
    <row r="296" spans="1:2" x14ac:dyDescent="0.2">
      <c r="A296" s="3"/>
      <c r="B296" s="3"/>
    </row>
    <row r="297" spans="1:2" x14ac:dyDescent="0.2">
      <c r="A297" s="3"/>
      <c r="B297" s="3"/>
    </row>
    <row r="298" spans="1:2" x14ac:dyDescent="0.2">
      <c r="A298" s="3"/>
      <c r="B298" s="3"/>
    </row>
    <row r="299" spans="1:2" x14ac:dyDescent="0.2">
      <c r="A299" s="3"/>
      <c r="B299" s="3"/>
    </row>
    <row r="300" spans="1:2" x14ac:dyDescent="0.2">
      <c r="A300" s="3"/>
      <c r="B300" s="3"/>
    </row>
    <row r="301" spans="1:2" x14ac:dyDescent="0.2">
      <c r="A301" s="3"/>
      <c r="B301" s="3"/>
    </row>
    <row r="302" spans="1:2" x14ac:dyDescent="0.2">
      <c r="A302" s="3"/>
      <c r="B302" s="3"/>
    </row>
    <row r="303" spans="1:2" x14ac:dyDescent="0.2">
      <c r="A303" s="3"/>
      <c r="B303" s="3"/>
    </row>
    <row r="304" spans="1:2" x14ac:dyDescent="0.2">
      <c r="A304" s="3"/>
      <c r="B304" s="3"/>
    </row>
    <row r="305" spans="1:2" x14ac:dyDescent="0.2">
      <c r="A305" s="3"/>
      <c r="B305" s="3"/>
    </row>
    <row r="306" spans="1:2" x14ac:dyDescent="0.2">
      <c r="A306" s="3"/>
      <c r="B306" s="3"/>
    </row>
    <row r="307" spans="1:2" x14ac:dyDescent="0.2">
      <c r="A307" s="3"/>
      <c r="B307" s="3"/>
    </row>
    <row r="308" spans="1:2" x14ac:dyDescent="0.2">
      <c r="A308" s="3"/>
      <c r="B308" s="3"/>
    </row>
    <row r="309" spans="1:2" x14ac:dyDescent="0.2">
      <c r="A309" s="3"/>
      <c r="B309" s="3"/>
    </row>
    <row r="310" spans="1:2" x14ac:dyDescent="0.2">
      <c r="A310" s="3"/>
      <c r="B310" s="3"/>
    </row>
    <row r="311" spans="1:2" x14ac:dyDescent="0.2">
      <c r="A311" s="3"/>
      <c r="B311" s="3"/>
    </row>
    <row r="312" spans="1:2" x14ac:dyDescent="0.2">
      <c r="A312" s="3"/>
      <c r="B312" s="3"/>
    </row>
    <row r="313" spans="1:2" x14ac:dyDescent="0.2">
      <c r="A313" s="3"/>
      <c r="B313" s="3"/>
    </row>
    <row r="314" spans="1:2" x14ac:dyDescent="0.2">
      <c r="A314" s="3"/>
      <c r="B314" s="3"/>
    </row>
    <row r="315" spans="1:2" x14ac:dyDescent="0.2">
      <c r="A315" s="3"/>
      <c r="B315" s="3"/>
    </row>
    <row r="316" spans="1:2" x14ac:dyDescent="0.2">
      <c r="A316" s="3"/>
      <c r="B316" s="3"/>
    </row>
    <row r="317" spans="1:2" x14ac:dyDescent="0.2">
      <c r="A317" s="3"/>
      <c r="B317" s="3"/>
    </row>
    <row r="318" spans="1:2" x14ac:dyDescent="0.2">
      <c r="A318" s="3"/>
      <c r="B318" s="3"/>
    </row>
    <row r="319" spans="1:2" x14ac:dyDescent="0.2">
      <c r="A319" s="3"/>
      <c r="B319" s="3"/>
    </row>
    <row r="320" spans="1:2" x14ac:dyDescent="0.2">
      <c r="A320" s="3"/>
      <c r="B320" s="3"/>
    </row>
    <row r="321" spans="1:2" x14ac:dyDescent="0.2">
      <c r="A321" s="3"/>
      <c r="B321" s="3"/>
    </row>
    <row r="322" spans="1:2" x14ac:dyDescent="0.2">
      <c r="A322" s="3"/>
      <c r="B322" s="3"/>
    </row>
    <row r="323" spans="1:2" x14ac:dyDescent="0.2">
      <c r="A323" s="3"/>
      <c r="B323" s="3"/>
    </row>
    <row r="324" spans="1:2" x14ac:dyDescent="0.2">
      <c r="A324" s="3"/>
      <c r="B324" s="3"/>
    </row>
    <row r="325" spans="1:2" x14ac:dyDescent="0.2">
      <c r="A325" s="3"/>
      <c r="B325" s="3"/>
    </row>
  </sheetData>
  <mergeCells count="8">
    <mergeCell ref="A211:C211"/>
    <mergeCell ref="A5:F5"/>
    <mergeCell ref="C8:C9"/>
    <mergeCell ref="D8:D9"/>
    <mergeCell ref="E8:E9"/>
    <mergeCell ref="F8:F9"/>
    <mergeCell ref="A8:A9"/>
    <mergeCell ref="B8:B9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7" orientation="portrait" r:id="rId1"/>
  <headerFooter differentFirst="1" alignWithMargins="0">
    <oddHeader xml:space="preserve">&amp;C&amp;"Times New Roman,курсив"&amp;14&amp;P&amp;R&amp;"Times New Roman,курсив"&amp;16Продовження додатка  
      </oddHeader>
  </headerFooter>
  <rowBreaks count="1" manualBreakCount="1">
    <brk id="21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зі змінами</vt:lpstr>
      <vt:lpstr>'додаток зі змінами'!Заголовки_для_печати</vt:lpstr>
      <vt:lpstr>'додаток зі змінами'!Область_печати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org310_3</cp:lastModifiedBy>
  <cp:lastPrinted>2019-04-15T13:53:56Z</cp:lastPrinted>
  <dcterms:created xsi:type="dcterms:W3CDTF">2005-04-08T06:14:05Z</dcterms:created>
  <dcterms:modified xsi:type="dcterms:W3CDTF">2019-04-17T10:53:48Z</dcterms:modified>
</cp:coreProperties>
</file>