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1200" windowWidth="11340" windowHeight="4890" tabRatio="602"/>
  </bookViews>
  <sheets>
    <sheet name="додаток" sheetId="4" r:id="rId1"/>
  </sheets>
  <definedNames>
    <definedName name="_xlnm.Print_Titles" localSheetId="0">додаток!$9:$9</definedName>
    <definedName name="_xlnm.Print_Area" localSheetId="0">додаток!$A$1:$F$178</definedName>
  </definedNames>
  <calcPr calcId="145621"/>
</workbook>
</file>

<file path=xl/calcChain.xml><?xml version="1.0" encoding="utf-8"?>
<calcChain xmlns="http://schemas.openxmlformats.org/spreadsheetml/2006/main">
  <c r="E172" i="4" l="1"/>
  <c r="E17" i="4"/>
  <c r="E76" i="4"/>
  <c r="D105" i="4" l="1"/>
  <c r="E109" i="4"/>
  <c r="E108" i="4" s="1"/>
  <c r="F108" i="4" s="1"/>
  <c r="E36" i="4"/>
  <c r="E107" i="4"/>
  <c r="F107" i="4" s="1"/>
  <c r="F109" i="4"/>
  <c r="E84" i="4"/>
  <c r="E23" i="4"/>
  <c r="F23" i="4" s="1"/>
  <c r="E106" i="4" l="1"/>
  <c r="F106" i="4" s="1"/>
  <c r="E105" i="4" l="1"/>
  <c r="F105" i="4" s="1"/>
  <c r="D56" i="4" l="1"/>
  <c r="E62" i="4"/>
  <c r="E61" i="4"/>
  <c r="E60" i="4"/>
  <c r="E59" i="4"/>
  <c r="E58" i="4"/>
  <c r="F17" i="4"/>
  <c r="E42" i="4"/>
  <c r="E34" i="4"/>
  <c r="F36" i="4"/>
  <c r="E146" i="4"/>
  <c r="E131" i="4"/>
  <c r="F131" i="4" s="1"/>
  <c r="E129" i="4"/>
  <c r="E133" i="4"/>
  <c r="E132" i="4" s="1"/>
  <c r="D132" i="4"/>
  <c r="F133" i="4"/>
  <c r="E125" i="4"/>
  <c r="E124" i="4" s="1"/>
  <c r="F124" i="4" s="1"/>
  <c r="E50" i="4"/>
  <c r="F50" i="4" s="1"/>
  <c r="E49" i="4"/>
  <c r="F49" i="4" s="1"/>
  <c r="D48" i="4"/>
  <c r="E40" i="4"/>
  <c r="F42" i="4"/>
  <c r="D63" i="4"/>
  <c r="F63" i="4" s="1"/>
  <c r="D62" i="4"/>
  <c r="D61" i="4"/>
  <c r="F61" i="4" s="1"/>
  <c r="D60" i="4"/>
  <c r="F60" i="4" s="1"/>
  <c r="D59" i="4"/>
  <c r="D58" i="4"/>
  <c r="F58" i="4" s="1"/>
  <c r="E67" i="4"/>
  <c r="F68" i="4"/>
  <c r="F62" i="4"/>
  <c r="E48" i="4" l="1"/>
  <c r="E56" i="4"/>
  <c r="F59" i="4"/>
  <c r="F132" i="4"/>
  <c r="E130" i="4"/>
  <c r="F125" i="4"/>
  <c r="F48" i="4"/>
  <c r="F130" i="4" l="1"/>
  <c r="F56" i="4"/>
  <c r="E74" i="4"/>
  <c r="F76" i="4"/>
  <c r="E75" i="4"/>
  <c r="E30" i="4"/>
  <c r="F30" i="4" s="1"/>
  <c r="E29" i="4"/>
  <c r="F29" i="4" s="1"/>
  <c r="E102" i="4"/>
  <c r="E101" i="4" s="1"/>
  <c r="D101" i="4"/>
  <c r="F102" i="4"/>
  <c r="E151" i="4"/>
  <c r="F74" i="4" l="1"/>
  <c r="E73" i="4"/>
  <c r="F75" i="4"/>
  <c r="F73" i="4"/>
  <c r="E72" i="4"/>
  <c r="F101" i="4"/>
  <c r="E127" i="4"/>
  <c r="E123" i="4" s="1"/>
  <c r="E128" i="4"/>
  <c r="D128" i="4"/>
  <c r="F129" i="4"/>
  <c r="F72" i="4" l="1"/>
  <c r="F128" i="4"/>
  <c r="E153" i="4"/>
  <c r="E26" i="4"/>
  <c r="E90" i="4" l="1"/>
  <c r="E88" i="4"/>
  <c r="E94" i="4"/>
  <c r="F84" i="4" l="1"/>
  <c r="F24" i="4"/>
  <c r="E20" i="4"/>
  <c r="E13" i="4"/>
  <c r="D11" i="4"/>
  <c r="F13" i="4"/>
  <c r="E47" i="4"/>
  <c r="E46" i="4"/>
  <c r="F47" i="4"/>
  <c r="F46" i="4"/>
  <c r="E41" i="4"/>
  <c r="F153" i="4"/>
  <c r="E152" i="4"/>
  <c r="D152" i="4"/>
  <c r="D139" i="4"/>
  <c r="F140" i="4"/>
  <c r="E139" i="4"/>
  <c r="F20" i="4" l="1"/>
  <c r="F139" i="4"/>
  <c r="E44" i="4"/>
  <c r="E43" i="4" s="1"/>
  <c r="F43" i="4" s="1"/>
  <c r="E83" i="4"/>
  <c r="F83" i="4" s="1"/>
  <c r="E12" i="4"/>
  <c r="E11" i="4" s="1"/>
  <c r="F11" i="4" s="1"/>
  <c r="F152" i="4"/>
  <c r="D176" i="4"/>
  <c r="D173" i="4"/>
  <c r="D171" i="4" s="1"/>
  <c r="D82" i="4"/>
  <c r="D81" i="4"/>
  <c r="D79" i="4"/>
  <c r="D71" i="4"/>
  <c r="D78" i="4"/>
  <c r="D70" i="4"/>
  <c r="D10" i="4"/>
  <c r="D22" i="4"/>
  <c r="D21" i="4"/>
  <c r="D19" i="4"/>
  <c r="F44" i="4" l="1"/>
  <c r="F12" i="4"/>
  <c r="E100" i="4"/>
  <c r="E31" i="4"/>
  <c r="E118" i="4"/>
  <c r="F119" i="4"/>
  <c r="E99" i="4" l="1"/>
  <c r="E164" i="4"/>
  <c r="F164" i="4" s="1"/>
  <c r="E160" i="4"/>
  <c r="E158" i="4" s="1"/>
  <c r="E134" i="4"/>
  <c r="E38" i="4"/>
  <c r="F40" i="4"/>
  <c r="E147" i="4"/>
  <c r="E145" i="4"/>
  <c r="E143" i="4"/>
  <c r="E141" i="4"/>
  <c r="E155" i="4"/>
  <c r="E154" i="4" s="1"/>
  <c r="D147" i="4"/>
  <c r="D145" i="4"/>
  <c r="F151" i="4"/>
  <c r="E104" i="4"/>
  <c r="E98" i="4" s="1"/>
  <c r="E163" i="4" l="1"/>
  <c r="E162" i="4" s="1"/>
  <c r="E159" i="4"/>
  <c r="E157" i="4" s="1"/>
  <c r="E126" i="4"/>
  <c r="E122" i="4" s="1"/>
  <c r="E150" i="4"/>
  <c r="E138" i="4" s="1"/>
  <c r="E103" i="4"/>
  <c r="E97" i="4" s="1"/>
  <c r="E149" i="4" l="1"/>
  <c r="E137" i="4" s="1"/>
  <c r="E28" i="4"/>
  <c r="F32" i="4"/>
  <c r="E33" i="4"/>
  <c r="F35" i="4"/>
  <c r="F34" i="4"/>
  <c r="D33" i="4"/>
  <c r="E64" i="4"/>
  <c r="E55" i="4" s="1"/>
  <c r="F66" i="4"/>
  <c r="F33" i="4" l="1"/>
  <c r="F67" i="4"/>
  <c r="E113" i="4"/>
  <c r="E175" i="4" s="1"/>
  <c r="F120" i="4"/>
  <c r="F118" i="4"/>
  <c r="E117" i="4"/>
  <c r="F117" i="4" s="1"/>
  <c r="E95" i="4"/>
  <c r="F95" i="4" s="1"/>
  <c r="E93" i="4"/>
  <c r="E80" i="4" s="1"/>
  <c r="E89" i="4"/>
  <c r="E87" i="4"/>
  <c r="E85" i="4"/>
  <c r="F21" i="4"/>
  <c r="F22" i="4"/>
  <c r="F94" i="4" l="1"/>
  <c r="E116" i="4"/>
  <c r="E81" i="4"/>
  <c r="E92" i="4"/>
  <c r="E91" i="4" l="1"/>
  <c r="E78" i="4" s="1"/>
  <c r="E79" i="4"/>
  <c r="E112" i="4"/>
  <c r="E115" i="4"/>
  <c r="E111" i="4" s="1"/>
  <c r="F86" i="4" l="1"/>
  <c r="F85" i="4"/>
  <c r="E169" i="4"/>
  <c r="F169" i="4" s="1"/>
  <c r="D165" i="4"/>
  <c r="E53" i="4"/>
  <c r="E52" i="4" s="1"/>
  <c r="E16" i="4"/>
  <c r="E15" i="4" s="1"/>
  <c r="D16" i="4"/>
  <c r="D18" i="4"/>
  <c r="E25" i="4"/>
  <c r="E19" i="4" s="1"/>
  <c r="D26" i="4"/>
  <c r="D25" i="4"/>
  <c r="D14" i="4"/>
  <c r="D15" i="4"/>
  <c r="D174" i="4"/>
  <c r="E168" i="4" l="1"/>
  <c r="E167" i="4"/>
  <c r="E71" i="4" s="1"/>
  <c r="E176" i="4" s="1"/>
  <c r="F25" i="4"/>
  <c r="F26" i="4"/>
  <c r="F167" i="4" l="1"/>
  <c r="E173" i="4"/>
  <c r="E166" i="4"/>
  <c r="F168" i="4"/>
  <c r="E18" i="4"/>
  <c r="F19" i="4"/>
  <c r="F18" i="4" l="1"/>
  <c r="F166" i="4"/>
  <c r="E165" i="4"/>
  <c r="F165" i="4" s="1"/>
  <c r="E51" i="4" l="1"/>
  <c r="F53" i="4"/>
  <c r="D51" i="4"/>
  <c r="F52" i="4"/>
  <c r="F163" i="4"/>
  <c r="D161" i="4"/>
  <c r="F154" i="4"/>
  <c r="F135" i="4"/>
  <c r="F51" i="4" l="1"/>
  <c r="F155" i="4"/>
  <c r="F134" i="4"/>
  <c r="F41" i="4"/>
  <c r="E161" i="4" l="1"/>
  <c r="F161" i="4" s="1"/>
  <c r="F162" i="4"/>
  <c r="F104" i="4" l="1"/>
  <c r="F103" i="4" l="1"/>
  <c r="D54" i="4" l="1"/>
  <c r="F150" i="4"/>
  <c r="F146" i="4"/>
  <c r="F149" i="4"/>
  <c r="F147" i="4"/>
  <c r="F145" i="4"/>
  <c r="D136" i="4"/>
  <c r="F148" i="4"/>
  <c r="F158" i="4"/>
  <c r="D156" i="4"/>
  <c r="D121" i="4"/>
  <c r="D37" i="4"/>
  <c r="F69" i="4"/>
  <c r="D64" i="4"/>
  <c r="F114" i="4"/>
  <c r="D110" i="4"/>
  <c r="D96" i="4"/>
  <c r="D27" i="4"/>
  <c r="E14" i="4" l="1"/>
  <c r="E96" i="4"/>
  <c r="F144" i="4"/>
  <c r="F143" i="4"/>
  <c r="E37" i="4"/>
  <c r="F113" i="4"/>
  <c r="E110" i="4"/>
  <c r="F99" i="4"/>
  <c r="E27" i="4"/>
  <c r="E121" i="4" l="1"/>
  <c r="E136" i="4"/>
  <c r="E156" i="4"/>
  <c r="F64" i="4" l="1"/>
  <c r="E54" i="4"/>
  <c r="F90" i="4"/>
  <c r="F89" i="4"/>
  <c r="E10" i="4" l="1"/>
  <c r="F93" i="4"/>
  <c r="D77" i="4"/>
  <c r="F80" i="4" l="1"/>
  <c r="F87" i="4" l="1"/>
  <c r="F92" i="4"/>
  <c r="F91" i="4" l="1"/>
  <c r="F142" i="4"/>
  <c r="F141" i="4"/>
  <c r="E77" i="4" l="1"/>
  <c r="E70" i="4" s="1"/>
  <c r="F138" i="4"/>
  <c r="F88" i="4" l="1"/>
  <c r="F123" i="4"/>
  <c r="F16" i="4"/>
  <c r="F31" i="4"/>
  <c r="F112" i="4"/>
  <c r="F116" i="4"/>
  <c r="F175" i="4"/>
  <c r="F160" i="4"/>
  <c r="F81" i="4"/>
  <c r="F127" i="4"/>
  <c r="D170" i="4"/>
  <c r="F176" i="4"/>
  <c r="F82" i="4"/>
  <c r="F126" i="4"/>
  <c r="F173" i="4"/>
  <c r="E174" i="4"/>
  <c r="F100" i="4"/>
  <c r="F98" i="4"/>
  <c r="F115" i="4"/>
  <c r="F28" i="4"/>
  <c r="F136" i="4"/>
  <c r="F137" i="4"/>
  <c r="F111" i="4"/>
  <c r="F110" i="4"/>
  <c r="F27" i="4"/>
  <c r="F174" i="4" l="1"/>
  <c r="F39" i="4"/>
  <c r="F159" i="4"/>
  <c r="F79" i="4"/>
  <c r="F96" i="4" l="1"/>
  <c r="F97" i="4"/>
  <c r="F37" i="4"/>
  <c r="F38" i="4"/>
  <c r="F14" i="4"/>
  <c r="F15" i="4"/>
  <c r="F71" i="4"/>
  <c r="F55" i="4"/>
  <c r="F54" i="4"/>
  <c r="F121" i="4"/>
  <c r="F122" i="4"/>
  <c r="F156" i="4"/>
  <c r="F157" i="4"/>
  <c r="F78" i="4" l="1"/>
  <c r="F10" i="4" l="1"/>
  <c r="F77" i="4"/>
  <c r="F70" i="4"/>
  <c r="E170" i="4" l="1"/>
  <c r="F170" i="4" s="1"/>
  <c r="E171" i="4" l="1"/>
  <c r="F171" i="4" s="1"/>
  <c r="F172" i="4"/>
</calcChain>
</file>

<file path=xl/sharedStrings.xml><?xml version="1.0" encoding="utf-8"?>
<sst xmlns="http://schemas.openxmlformats.org/spreadsheetml/2006/main" count="292" uniqueCount="175">
  <si>
    <t>грн.</t>
  </si>
  <si>
    <t>Показники бюджету</t>
  </si>
  <si>
    <t>КТКВ</t>
  </si>
  <si>
    <t>Зміни до показників</t>
  </si>
  <si>
    <t xml:space="preserve"> - профіцит за рахунок коштів, що передаються із загального фонду бюджету до бюджету розвитку (спеціального фонду)</t>
  </si>
  <si>
    <t xml:space="preserve"> - дефіцит за рахунок коштів, що передаються із загального фонду бюджету до бюджету розвитку (спеціального фонду)</t>
  </si>
  <si>
    <t>у тому числі бюджет розвитку</t>
  </si>
  <si>
    <t>Видатки та кредитування загального фонду, разом:</t>
  </si>
  <si>
    <t>Видатки та кредитування  спеціального фонду, разом:</t>
  </si>
  <si>
    <t>Джерела фінансування загального фонду, усього:</t>
  </si>
  <si>
    <t>Джерела фінансування спеціального фонду, усього:</t>
  </si>
  <si>
    <t>Управління капітального будівництва виконкому Криворізької міської ради</t>
  </si>
  <si>
    <t>Виконавчий комітет Криворізької міської ради</t>
  </si>
  <si>
    <t>Код  програмної класифікації видатків та кредитування місцевого бюджету</t>
  </si>
  <si>
    <t>у тому числі видатки розвитку</t>
  </si>
  <si>
    <t>Управління охорони  здоров'я виконкому Криворізької міської ради</t>
  </si>
  <si>
    <t xml:space="preserve">Багатопрофільна стаціонарна медична допомога населенню </t>
  </si>
  <si>
    <t>2010</t>
  </si>
  <si>
    <t>у тому числі видатки споживання</t>
  </si>
  <si>
    <t>Управління культури виконкому Криворізької міської ради</t>
  </si>
  <si>
    <t xml:space="preserve">            до рішення виконкому міської ради </t>
  </si>
  <si>
    <t>Видатки та кредитування загального та спеціального фондів разом:</t>
  </si>
  <si>
    <t>Код доходів, код ТПКВКМБ /
ТКВКБМС</t>
  </si>
  <si>
    <t>0200000</t>
  </si>
  <si>
    <t>0210000</t>
  </si>
  <si>
    <t>Керівництво і управління у відповідній сфері у містах (місті Києві), селищах, селах, об’єднаних територіальних громадах</t>
  </si>
  <si>
    <t>0210160</t>
  </si>
  <si>
    <t>0160</t>
  </si>
  <si>
    <t>0600000</t>
  </si>
  <si>
    <t>0610000</t>
  </si>
  <si>
    <t>0611020</t>
  </si>
  <si>
    <t>Надання загальної середньої освіти загальноосвітніми навчальними закладами ( в т. ч. школою-дитячим садком, інтернатом при школі), спеціалізованими школами, ліцеями, гімназіями, колегіумами</t>
  </si>
  <si>
    <t>Інші програми та заходи у сфері освіти</t>
  </si>
  <si>
    <t>1162</t>
  </si>
  <si>
    <t>0611162</t>
  </si>
  <si>
    <t>0617363</t>
  </si>
  <si>
    <t>7363</t>
  </si>
  <si>
    <t>Утримання та навчально-тренувальна робота комунальних дитячо-юнацьких спортивних шкіл</t>
  </si>
  <si>
    <t>0615031</t>
  </si>
  <si>
    <t>0700000</t>
  </si>
  <si>
    <t>0710000</t>
  </si>
  <si>
    <t>0712010</t>
  </si>
  <si>
    <t>0712111</t>
  </si>
  <si>
    <t>Управління з питань надзвичайних ситуацій та цивільного захисту населення виконавчого комітету Криворізької міської ради</t>
  </si>
  <si>
    <t>Забезпечення діяльності палаців i будинків культури, клубів, центрів дозвілля та iнших клубних закладів</t>
  </si>
  <si>
    <t>Інгулецької</t>
  </si>
  <si>
    <t>Центрально-Міської</t>
  </si>
  <si>
    <t>Організація благоустрою населених пунктів</t>
  </si>
  <si>
    <t>7310</t>
  </si>
  <si>
    <t>Будівництво об'єктів житлово-комунального господарства</t>
  </si>
  <si>
    <t>Будівництво освітніх установ та закладів</t>
  </si>
  <si>
    <t>7321</t>
  </si>
  <si>
    <t>7322</t>
  </si>
  <si>
    <t>Будівництво медичних установ та закладів</t>
  </si>
  <si>
    <t>Будівництво установ та закладів культури</t>
  </si>
  <si>
    <t>7324</t>
  </si>
  <si>
    <t xml:space="preserve">             Додаток</t>
  </si>
  <si>
    <t>8340</t>
  </si>
  <si>
    <t>Природоохоронні заходи за рахунок цільових фондів</t>
  </si>
  <si>
    <t>1218340</t>
  </si>
  <si>
    <t>Управління екології виконкому Криворізької міської ради</t>
  </si>
  <si>
    <t>2818340</t>
  </si>
  <si>
    <t>Інша діяльність у сфері державного управління</t>
  </si>
  <si>
    <t>0180</t>
  </si>
  <si>
    <t>Департамент адміністративних послуг виконкому Криворізької міської ради</t>
  </si>
  <si>
    <t>3410180</t>
  </si>
  <si>
    <t>у тому числі комунальні послуги та енергоносії</t>
  </si>
  <si>
    <t xml:space="preserve">Проект унесення змін до показників міського бюджету на 2019 рік </t>
  </si>
  <si>
    <t xml:space="preserve">Затверджено на 2019 рік </t>
  </si>
  <si>
    <t xml:space="preserve"> - дефіцит за рахунок розподілу вільного залишку коштів, що склався на рахунку загального фонду міського бюджету станом на 01.01.2019</t>
  </si>
  <si>
    <t xml:space="preserve"> - дефіцит за рахунок розподілу залишків коштів, що склалися на рахунках спеціального фонду міського бюджету станом на 01.01.2019</t>
  </si>
  <si>
    <t>Уточнені показники на 2019 рік</t>
  </si>
  <si>
    <t>Департамент освіти і науки виконкому Криворізької міської ради</t>
  </si>
  <si>
    <t>у тому числі оплата праці</t>
  </si>
  <si>
    <t>2917330</t>
  </si>
  <si>
    <t>7330</t>
  </si>
  <si>
    <t>9570</t>
  </si>
  <si>
    <t>3719570</t>
  </si>
  <si>
    <t>Субвенція з місцевого бюджету на здійснення заходів щодо соціально-економічного розвитку окремих територій за рахунок залишку коштів відповідної субвенції з державного бюджету, що утворився на початок бюджтного періоду</t>
  </si>
  <si>
    <t>з них за рахунок залишку коштів субвенції з державного бюджету місцевим бюджетам на здійснення заходів щодо соціально-економічного розвитку окремих територій станом на 01.01.2019</t>
  </si>
  <si>
    <t>Будівництво інших об'єктів  комунальної власності</t>
  </si>
  <si>
    <t xml:space="preserve">Виконання інвестиційних проектів в рамках здійснення заходів щодо соціально-економічного розвитку окремих територій
</t>
  </si>
  <si>
    <t>0611161</t>
  </si>
  <si>
    <t>1161</t>
  </si>
  <si>
    <t xml:space="preserve">Забезпечення діяльності інших закладів у сфері освіти </t>
  </si>
  <si>
    <t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місцевого самоврядування і місцевими органами виконавчої влади</t>
  </si>
  <si>
    <t>0617691</t>
  </si>
  <si>
    <t>1017363</t>
  </si>
  <si>
    <t>1017691</t>
  </si>
  <si>
    <t>у тому числі за:</t>
  </si>
  <si>
    <t>бюджетами районих у місті рад</t>
  </si>
  <si>
    <t>обласним бюджетом</t>
  </si>
  <si>
    <t>Департамент фінансів виконкому Криворізької міської ради</t>
  </si>
  <si>
    <t>0800000</t>
  </si>
  <si>
    <t>0810000</t>
  </si>
  <si>
    <t>Департамент соціальної політики виконкому Криворізької міської ради</t>
  </si>
  <si>
    <t>Надання пільг окремим категоріям громадян з оплати послуг зв'язку</t>
  </si>
  <si>
    <t>0813032</t>
  </si>
  <si>
    <t>Первинна медична допомога населенню, що надається центрами первинної медичної (медико-санітар-ної) допомоги</t>
  </si>
  <si>
    <t>0712144</t>
  </si>
  <si>
    <t>2144</t>
  </si>
  <si>
    <t>Централізовані заходи з лікування хворих на цукровий та нецукровий діабет</t>
  </si>
  <si>
    <t>Департамент розвитку інфраструктури міста виконкому Криворізької міської ради</t>
  </si>
  <si>
    <t>1216016</t>
  </si>
  <si>
    <t>6016</t>
  </si>
  <si>
    <t>Впровадження засобів обліку витрат та регулювання споживання води та теплової енергії</t>
  </si>
  <si>
    <t>Департамент регулювання містобудівної діяльності та земельних відносин виконкому Криворізької міської ради</t>
  </si>
  <si>
    <t>1617350</t>
  </si>
  <si>
    <t>7350</t>
  </si>
  <si>
    <t>Розроблення схем планування та забудови територій (містобудівної документації)</t>
  </si>
  <si>
    <t>видатки розвитку</t>
  </si>
  <si>
    <t>у тому числі: видатки споживання</t>
  </si>
  <si>
    <t>7370</t>
  </si>
  <si>
    <t>0717322</t>
  </si>
  <si>
    <t>Реалізація інших заходів щодо соціально-економічного розвитку територій</t>
  </si>
  <si>
    <t>1512010</t>
  </si>
  <si>
    <t>1517310</t>
  </si>
  <si>
    <t>1517321</t>
  </si>
  <si>
    <t>1517322</t>
  </si>
  <si>
    <t>1517324</t>
  </si>
  <si>
    <t>1517363</t>
  </si>
  <si>
    <t>1518340</t>
  </si>
  <si>
    <t>1517370</t>
  </si>
  <si>
    <t>1216090</t>
  </si>
  <si>
    <t>6090</t>
  </si>
  <si>
    <t>Інша діяльність у сфері житлово-комунального господарства</t>
  </si>
  <si>
    <t>1219770</t>
  </si>
  <si>
    <t>9770</t>
  </si>
  <si>
    <t xml:space="preserve">Інші субвенції з місцевого бюджету, у тому числі: </t>
  </si>
  <si>
    <t>у тому числі за бюджетами районих у місті рад</t>
  </si>
  <si>
    <t>Довгинцівської</t>
  </si>
  <si>
    <t>Саксаганської</t>
  </si>
  <si>
    <t>0100000</t>
  </si>
  <si>
    <t>0110000</t>
  </si>
  <si>
    <t>Криворізька міська рада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</si>
  <si>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</si>
  <si>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0110150</t>
  </si>
  <si>
    <t>0150</t>
  </si>
  <si>
    <t>Надання дошкільної освіти</t>
  </si>
  <si>
    <t>0611010</t>
  </si>
  <si>
    <t>1010</t>
  </si>
  <si>
    <t>0611090</t>
  </si>
  <si>
    <t>1090</t>
  </si>
  <si>
    <t>Надання позашкільної освіти позашкільними закладами освіти, заходи із позашкільної роботи з дітьми</t>
  </si>
  <si>
    <t>В.о. керуючої справами виконкому -                           заступник міського голови</t>
  </si>
  <si>
    <t xml:space="preserve">  В.Бєрлін</t>
  </si>
  <si>
    <t>субвенція з міського бюджету районним у місті бюджетам за рахунок субвенції з обласного бюджету на виконання доручень виборців депутатами обласної ради у 2019 році</t>
  </si>
  <si>
    <t>1217310</t>
  </si>
  <si>
    <t>Виконання інвестиційних проектів в рамках здійснення заходів щодо соціально-економічного розвитку окремих територій</t>
  </si>
  <si>
    <t>0712152</t>
  </si>
  <si>
    <t>2152</t>
  </si>
  <si>
    <t>Інші програми та заходи у сфері охорони здоров’я</t>
  </si>
  <si>
    <t>0712080</t>
  </si>
  <si>
    <t>2080</t>
  </si>
  <si>
    <t>Амбулаторно-поліклінічна допомога населенню, крім первинної медичної допомоги</t>
  </si>
  <si>
    <t xml:space="preserve">Субвенція з місцевого бюджету державному бюджету на виконання програм соціально-економічного розвитку регіонів </t>
  </si>
  <si>
    <t>0219800</t>
  </si>
  <si>
    <t>9800</t>
  </si>
  <si>
    <t xml:space="preserve">Інші дотації з місцевого бюджету </t>
  </si>
  <si>
    <t>3719150</t>
  </si>
  <si>
    <t>9150</t>
  </si>
  <si>
    <t>Покровської</t>
  </si>
  <si>
    <t>Тернівської</t>
  </si>
  <si>
    <t>1217461</t>
  </si>
  <si>
    <t>7461</t>
  </si>
  <si>
    <t>Утримання та розвиток автомобільних доріг та дорожньої інфраструктури за рахунок коштів місцевого бюджету</t>
  </si>
  <si>
    <t>1216011</t>
  </si>
  <si>
    <t>6011</t>
  </si>
  <si>
    <t>Експлуатація та технічне обслуговування житлового фонду</t>
  </si>
  <si>
    <t>Інші заходи, пов'язані з економічною діяльністю</t>
  </si>
  <si>
    <t>1517693</t>
  </si>
  <si>
    <t>7693</t>
  </si>
  <si>
    <t>1217691</t>
  </si>
  <si>
    <t>0817693</t>
  </si>
  <si>
    <t xml:space="preserve">          22.01.2019 №49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</si>
</sst>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30" x14ac:knownFonts="1">
    <font>
      <sz val="10"/>
      <name val="Arial Cyr"/>
      <charset val="204"/>
    </font>
    <font>
      <sz val="14"/>
      <name val="Arial Cyr"/>
      <family val="2"/>
      <charset val="204"/>
    </font>
    <font>
      <b/>
      <i/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3"/>
      <name val="Times New Roman"/>
      <family val="1"/>
      <charset val="204"/>
    </font>
    <font>
      <b/>
      <i/>
      <sz val="16"/>
      <name val="Times New Roman"/>
      <family val="1"/>
      <charset val="204"/>
    </font>
    <font>
      <i/>
      <sz val="13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sz val="16"/>
      <name val="Arial Cyr"/>
      <charset val="204"/>
    </font>
    <font>
      <b/>
      <i/>
      <sz val="18"/>
      <name val="Times New Roman"/>
      <family val="1"/>
      <charset val="204"/>
    </font>
    <font>
      <i/>
      <sz val="16"/>
      <name val="Times New Roman"/>
      <family val="1"/>
      <charset val="204"/>
    </font>
    <font>
      <sz val="14"/>
      <color indexed="10"/>
      <name val="Times New Roman"/>
      <family val="1"/>
      <charset val="204"/>
    </font>
    <font>
      <i/>
      <sz val="28"/>
      <name val="Times New Roman"/>
      <family val="1"/>
      <charset val="204"/>
    </font>
    <font>
      <i/>
      <sz val="36"/>
      <name val="Times New Roman"/>
      <family val="1"/>
      <charset val="204"/>
    </font>
    <font>
      <i/>
      <sz val="40"/>
      <name val="Times New Roman"/>
      <family val="1"/>
      <charset val="204"/>
    </font>
    <font>
      <i/>
      <sz val="18"/>
      <name val="Times New Roman"/>
      <family val="1"/>
      <charset val="204"/>
    </font>
    <font>
      <b/>
      <i/>
      <sz val="20"/>
      <name val="Times New Roman"/>
      <family val="1"/>
      <charset val="204"/>
    </font>
    <font>
      <sz val="20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3"/>
      <name val="Times New Roman"/>
      <family val="1"/>
      <charset val="204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2"/>
      <name val="Arial Cyr"/>
      <charset val="204"/>
    </font>
    <font>
      <sz val="14"/>
      <color rgb="FFFF0000"/>
      <name val="Times New Roman"/>
      <family val="1"/>
      <charset val="204"/>
    </font>
    <font>
      <sz val="14"/>
      <color rgb="FF0070C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0"/>
      <color rgb="FFFF000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1" fillId="0" borderId="0" xfId="0" applyFont="1"/>
    <xf numFmtId="0" fontId="0" fillId="0" borderId="0" xfId="0" applyFill="1"/>
    <xf numFmtId="49" fontId="0" fillId="0" borderId="0" xfId="0" applyNumberFormat="1"/>
    <xf numFmtId="0" fontId="3" fillId="0" borderId="0" xfId="0" applyFont="1" applyAlignment="1">
      <alignment horizontal="right"/>
    </xf>
    <xf numFmtId="0" fontId="4" fillId="0" borderId="0" xfId="0" applyFont="1"/>
    <xf numFmtId="0" fontId="4" fillId="0" borderId="0" xfId="0" applyFont="1" applyBorder="1"/>
    <xf numFmtId="4" fontId="4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/>
    <xf numFmtId="0" fontId="4" fillId="0" borderId="0" xfId="0" applyFont="1" applyFill="1"/>
    <xf numFmtId="0" fontId="7" fillId="0" borderId="0" xfId="0" applyFont="1"/>
    <xf numFmtId="0" fontId="5" fillId="2" borderId="1" xfId="0" applyFont="1" applyFill="1" applyBorder="1"/>
    <xf numFmtId="4" fontId="9" fillId="0" borderId="0" xfId="0" applyNumberFormat="1" applyFont="1" applyBorder="1" applyAlignment="1">
      <alignment horizontal="center" vertical="center"/>
    </xf>
    <xf numFmtId="0" fontId="10" fillId="0" borderId="0" xfId="0" applyFont="1" applyFill="1"/>
    <xf numFmtId="0" fontId="11" fillId="0" borderId="0" xfId="0" applyFont="1"/>
    <xf numFmtId="0" fontId="12" fillId="0" borderId="0" xfId="0" applyFont="1"/>
    <xf numFmtId="0" fontId="7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3" fillId="0" borderId="0" xfId="0" applyFont="1" applyAlignment="1">
      <alignment horizontal="left"/>
    </xf>
    <xf numFmtId="0" fontId="13" fillId="0" borderId="0" xfId="0" applyFont="1" applyAlignment="1">
      <alignment horizont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14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4" fontId="4" fillId="0" borderId="0" xfId="0" applyNumberFormat="1" applyFont="1"/>
    <xf numFmtId="4" fontId="2" fillId="2" borderId="2" xfId="0" applyNumberFormat="1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4" fontId="5" fillId="2" borderId="4" xfId="0" applyNumberFormat="1" applyFont="1" applyFill="1" applyBorder="1" applyAlignment="1">
      <alignment horizontal="center" vertical="center"/>
    </xf>
    <xf numFmtId="4" fontId="3" fillId="2" borderId="5" xfId="0" applyNumberFormat="1" applyFont="1" applyFill="1" applyBorder="1" applyAlignment="1">
      <alignment horizontal="center" vertical="center"/>
    </xf>
    <xf numFmtId="4" fontId="2" fillId="3" borderId="6" xfId="0" applyNumberFormat="1" applyFont="1" applyFill="1" applyBorder="1" applyAlignment="1">
      <alignment horizontal="center" vertical="center"/>
    </xf>
    <xf numFmtId="2" fontId="0" fillId="0" borderId="0" xfId="0" applyNumberFormat="1"/>
    <xf numFmtId="0" fontId="2" fillId="0" borderId="0" xfId="0" applyFont="1" applyBorder="1" applyAlignment="1">
      <alignment horizontal="center" vertical="center" wrapText="1"/>
    </xf>
    <xf numFmtId="164" fontId="0" fillId="0" borderId="0" xfId="0" applyNumberFormat="1"/>
    <xf numFmtId="0" fontId="15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5" fillId="2" borderId="2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5" fillId="2" borderId="7" xfId="0" applyFont="1" applyFill="1" applyBorder="1"/>
    <xf numFmtId="0" fontId="5" fillId="2" borderId="8" xfId="0" applyFont="1" applyFill="1" applyBorder="1"/>
    <xf numFmtId="4" fontId="5" fillId="2" borderId="2" xfId="0" applyNumberFormat="1" applyFont="1" applyFill="1" applyBorder="1" applyAlignment="1">
      <alignment horizontal="center" vertical="center"/>
    </xf>
    <xf numFmtId="4" fontId="4" fillId="0" borderId="2" xfId="0" applyNumberFormat="1" applyFont="1" applyFill="1" applyBorder="1" applyAlignment="1">
      <alignment horizontal="center" vertical="center"/>
    </xf>
    <xf numFmtId="4" fontId="4" fillId="0" borderId="9" xfId="0" applyNumberFormat="1" applyFont="1" applyFill="1" applyBorder="1" applyAlignment="1">
      <alignment horizontal="center" vertical="center"/>
    </xf>
    <xf numFmtId="4" fontId="3" fillId="3" borderId="6" xfId="0" applyNumberFormat="1" applyFont="1" applyFill="1" applyBorder="1" applyAlignment="1">
      <alignment horizontal="center" vertical="center"/>
    </xf>
    <xf numFmtId="4" fontId="4" fillId="0" borderId="10" xfId="0" applyNumberFormat="1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left" vertical="center" wrapText="1"/>
    </xf>
    <xf numFmtId="4" fontId="5" fillId="2" borderId="1" xfId="0" applyNumberFormat="1" applyFont="1" applyFill="1" applyBorder="1" applyAlignment="1">
      <alignment horizontal="center" vertical="center"/>
    </xf>
    <xf numFmtId="0" fontId="17" fillId="0" borderId="0" xfId="0" applyFont="1" applyAlignment="1">
      <alignment horizontal="left"/>
    </xf>
    <xf numFmtId="0" fontId="18" fillId="0" borderId="0" xfId="0" applyFont="1" applyAlignment="1">
      <alignment horizontal="left"/>
    </xf>
    <xf numFmtId="4" fontId="19" fillId="0" borderId="0" xfId="0" applyNumberFormat="1" applyFont="1" applyFill="1" applyBorder="1" applyAlignment="1">
      <alignment horizontal="center"/>
    </xf>
    <xf numFmtId="4" fontId="5" fillId="0" borderId="0" xfId="0" applyNumberFormat="1" applyFont="1" applyFill="1" applyBorder="1" applyAlignment="1">
      <alignment horizontal="center" vertical="center"/>
    </xf>
    <xf numFmtId="4" fontId="3" fillId="0" borderId="9" xfId="0" applyNumberFormat="1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 wrapText="1"/>
    </xf>
    <xf numFmtId="4" fontId="4" fillId="0" borderId="6" xfId="0" applyNumberFormat="1" applyFont="1" applyFill="1" applyBorder="1" applyAlignment="1">
      <alignment horizontal="center" vertical="center"/>
    </xf>
    <xf numFmtId="0" fontId="5" fillId="0" borderId="1" xfId="0" applyFont="1" applyFill="1" applyBorder="1"/>
    <xf numFmtId="0" fontId="6" fillId="0" borderId="1" xfId="0" applyFont="1" applyFill="1" applyBorder="1" applyAlignment="1">
      <alignment horizontal="left" vertical="center" wrapText="1"/>
    </xf>
    <xf numFmtId="4" fontId="4" fillId="0" borderId="1" xfId="0" applyNumberFormat="1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/>
    <xf numFmtId="0" fontId="5" fillId="2" borderId="4" xfId="0" applyFont="1" applyFill="1" applyBorder="1"/>
    <xf numFmtId="0" fontId="5" fillId="2" borderId="5" xfId="0" applyFont="1" applyFill="1" applyBorder="1"/>
    <xf numFmtId="49" fontId="4" fillId="0" borderId="2" xfId="0" applyNumberFormat="1" applyFont="1" applyFill="1" applyBorder="1" applyAlignment="1">
      <alignment horizontal="center" vertical="center" wrapText="1"/>
    </xf>
    <xf numFmtId="0" fontId="23" fillId="0" borderId="11" xfId="0" applyFont="1" applyFill="1" applyBorder="1" applyAlignment="1">
      <alignment horizontal="center" vertical="center" wrapText="1"/>
    </xf>
    <xf numFmtId="49" fontId="4" fillId="0" borderId="10" xfId="0" applyNumberFormat="1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left" vertical="center" wrapText="1"/>
    </xf>
    <xf numFmtId="4" fontId="3" fillId="0" borderId="10" xfId="0" applyNumberFormat="1" applyFont="1" applyFill="1" applyBorder="1" applyAlignment="1">
      <alignment horizontal="center" vertical="center"/>
    </xf>
    <xf numFmtId="4" fontId="3" fillId="0" borderId="6" xfId="0" applyNumberFormat="1" applyFont="1" applyFill="1" applyBorder="1" applyAlignment="1">
      <alignment horizontal="center" vertical="center"/>
    </xf>
    <xf numFmtId="49" fontId="3" fillId="0" borderId="10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0" fontId="24" fillId="0" borderId="10" xfId="0" applyFont="1" applyFill="1" applyBorder="1" applyAlignment="1">
      <alignment horizontal="left" vertical="center" wrapText="1"/>
    </xf>
    <xf numFmtId="0" fontId="25" fillId="0" borderId="0" xfId="0" applyFont="1"/>
    <xf numFmtId="49" fontId="2" fillId="3" borderId="12" xfId="0" applyNumberFormat="1" applyFont="1" applyFill="1" applyBorder="1" applyAlignment="1">
      <alignment horizontal="center" vertical="center" wrapText="1"/>
    </xf>
    <xf numFmtId="49" fontId="4" fillId="0" borderId="13" xfId="0" applyNumberFormat="1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49" fontId="3" fillId="3" borderId="12" xfId="0" applyNumberFormat="1" applyFont="1" applyFill="1" applyBorder="1" applyAlignment="1">
      <alignment horizontal="center" vertical="center" wrapText="1"/>
    </xf>
    <xf numFmtId="4" fontId="25" fillId="0" borderId="0" xfId="0" applyNumberFormat="1" applyFont="1"/>
    <xf numFmtId="4" fontId="0" fillId="0" borderId="0" xfId="0" applyNumberFormat="1"/>
    <xf numFmtId="49" fontId="4" fillId="0" borderId="16" xfId="0" applyNumberFormat="1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left" vertical="center" wrapText="1"/>
    </xf>
    <xf numFmtId="0" fontId="4" fillId="0" borderId="10" xfId="0" applyFont="1" applyFill="1" applyBorder="1" applyAlignment="1">
      <alignment horizontal="left" vertical="center" wrapText="1"/>
    </xf>
    <xf numFmtId="0" fontId="8" fillId="0" borderId="16" xfId="0" applyFont="1" applyFill="1" applyBorder="1" applyAlignment="1">
      <alignment horizontal="left" vertical="center" wrapText="1"/>
    </xf>
    <xf numFmtId="49" fontId="3" fillId="3" borderId="13" xfId="0" applyNumberFormat="1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left" vertical="center" wrapText="1"/>
    </xf>
    <xf numFmtId="0" fontId="3" fillId="0" borderId="10" xfId="0" applyFont="1" applyFill="1" applyBorder="1" applyAlignment="1">
      <alignment horizontal="left" vertical="center" wrapText="1"/>
    </xf>
    <xf numFmtId="4" fontId="0" fillId="0" borderId="0" xfId="0" applyNumberFormat="1" applyFill="1"/>
    <xf numFmtId="4" fontId="4" fillId="0" borderId="0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4" fontId="8" fillId="0" borderId="9" xfId="0" applyNumberFormat="1" applyFont="1" applyFill="1" applyBorder="1" applyAlignment="1">
      <alignment horizontal="center" vertical="center"/>
    </xf>
    <xf numFmtId="4" fontId="26" fillId="0" borderId="0" xfId="0" applyNumberFormat="1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left" vertical="center" wrapText="1"/>
    </xf>
    <xf numFmtId="4" fontId="5" fillId="2" borderId="7" xfId="0" applyNumberFormat="1" applyFont="1" applyFill="1" applyBorder="1" applyAlignment="1">
      <alignment horizontal="center" vertical="center"/>
    </xf>
    <xf numFmtId="4" fontId="6" fillId="0" borderId="9" xfId="0" applyNumberFormat="1" applyFont="1" applyFill="1" applyBorder="1" applyAlignment="1">
      <alignment horizontal="center" vertical="center"/>
    </xf>
    <xf numFmtId="4" fontId="27" fillId="0" borderId="0" xfId="0" applyNumberFormat="1" applyFont="1" applyFill="1" applyBorder="1" applyAlignment="1">
      <alignment horizontal="center" vertical="center"/>
    </xf>
    <xf numFmtId="4" fontId="28" fillId="0" borderId="0" xfId="0" applyNumberFormat="1" applyFont="1" applyFill="1" applyBorder="1" applyAlignment="1">
      <alignment horizontal="center" vertical="center"/>
    </xf>
    <xf numFmtId="0" fontId="29" fillId="0" borderId="0" xfId="0" applyFont="1"/>
    <xf numFmtId="0" fontId="6" fillId="0" borderId="10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left" vertical="center" wrapText="1"/>
    </xf>
    <xf numFmtId="0" fontId="19" fillId="0" borderId="0" xfId="0" applyFont="1" applyAlignment="1">
      <alignment horizontal="left" wrapText="1"/>
    </xf>
    <xf numFmtId="0" fontId="19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/>
    </xf>
    <xf numFmtId="0" fontId="22" fillId="0" borderId="14" xfId="0" applyFont="1" applyBorder="1" applyAlignment="1">
      <alignment horizontal="center" vertical="center" wrapText="1"/>
    </xf>
    <xf numFmtId="0" fontId="21" fillId="0" borderId="7" xfId="0" applyFont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2"/>
  <sheetViews>
    <sheetView tabSelected="1" zoomScale="87" zoomScaleNormal="87" zoomScaleSheetLayoutView="89" workbookViewId="0">
      <selection activeCell="D3" sqref="D3"/>
    </sheetView>
  </sheetViews>
  <sheetFormatPr defaultRowHeight="12.75" x14ac:dyDescent="0.2"/>
  <cols>
    <col min="1" max="1" width="15.7109375" customWidth="1"/>
    <col min="2" max="2" width="14.140625" customWidth="1"/>
    <col min="3" max="3" width="44.85546875" customWidth="1"/>
    <col min="4" max="4" width="21.7109375" customWidth="1"/>
    <col min="5" max="5" width="18.5703125" customWidth="1"/>
    <col min="6" max="6" width="19.85546875" customWidth="1"/>
    <col min="7" max="7" width="20.28515625" customWidth="1"/>
    <col min="8" max="8" width="15.7109375" customWidth="1"/>
    <col min="9" max="9" width="17.7109375" bestFit="1" customWidth="1"/>
    <col min="10" max="10" width="15.28515625" customWidth="1"/>
    <col min="11" max="11" width="18.5703125" customWidth="1"/>
  </cols>
  <sheetData>
    <row r="1" spans="1:8" ht="36.75" customHeight="1" x14ac:dyDescent="0.7">
      <c r="A1" s="5"/>
      <c r="B1" s="5"/>
      <c r="C1" s="5"/>
      <c r="D1" s="52" t="s">
        <v>56</v>
      </c>
      <c r="E1" s="51"/>
      <c r="F1" s="34"/>
      <c r="G1" s="20"/>
    </row>
    <row r="2" spans="1:8" ht="24.75" customHeight="1" x14ac:dyDescent="0.65">
      <c r="A2" s="5"/>
      <c r="B2" s="5"/>
      <c r="C2" s="5"/>
      <c r="D2" s="52" t="s">
        <v>20</v>
      </c>
      <c r="E2" s="36"/>
      <c r="F2" s="35"/>
      <c r="G2" s="21"/>
    </row>
    <row r="3" spans="1:8" ht="18.75" customHeight="1" x14ac:dyDescent="0.3">
      <c r="A3" s="5"/>
      <c r="B3" s="5"/>
      <c r="C3" s="5"/>
      <c r="D3" s="20" t="s">
        <v>174</v>
      </c>
      <c r="E3" s="20"/>
      <c r="F3" s="21"/>
      <c r="G3" s="21"/>
    </row>
    <row r="4" spans="1:8" ht="26.25" customHeight="1" x14ac:dyDescent="0.25">
      <c r="A4" s="102" t="s">
        <v>67</v>
      </c>
      <c r="B4" s="102"/>
      <c r="C4" s="103"/>
      <c r="D4" s="103"/>
      <c r="E4" s="103"/>
      <c r="F4" s="103"/>
      <c r="G4" s="17"/>
      <c r="H4" s="1"/>
    </row>
    <row r="5" spans="1:8" ht="12" customHeight="1" x14ac:dyDescent="0.25">
      <c r="A5" s="16"/>
      <c r="B5" s="16"/>
      <c r="C5" s="17"/>
      <c r="D5" s="17"/>
      <c r="E5" s="17"/>
      <c r="F5" s="17"/>
      <c r="G5" s="17"/>
      <c r="H5" s="1"/>
    </row>
    <row r="6" spans="1:8" ht="15" customHeight="1" thickBot="1" x14ac:dyDescent="0.35">
      <c r="A6" s="5"/>
      <c r="B6" s="5"/>
      <c r="C6" s="5"/>
      <c r="D6" s="6"/>
      <c r="E6" s="6"/>
      <c r="F6" s="4" t="s">
        <v>0</v>
      </c>
      <c r="G6" s="4"/>
    </row>
    <row r="7" spans="1:8" ht="45" customHeight="1" x14ac:dyDescent="0.2">
      <c r="A7" s="106" t="s">
        <v>13</v>
      </c>
      <c r="B7" s="106" t="s">
        <v>22</v>
      </c>
      <c r="C7" s="104" t="s">
        <v>1</v>
      </c>
      <c r="D7" s="104" t="s">
        <v>68</v>
      </c>
      <c r="E7" s="104" t="s">
        <v>3</v>
      </c>
      <c r="F7" s="104" t="s">
        <v>71</v>
      </c>
      <c r="G7" s="32"/>
    </row>
    <row r="8" spans="1:8" ht="66" customHeight="1" thickBot="1" x14ac:dyDescent="0.25">
      <c r="A8" s="107" t="s">
        <v>2</v>
      </c>
      <c r="B8" s="107"/>
      <c r="C8" s="105"/>
      <c r="D8" s="105"/>
      <c r="E8" s="105"/>
      <c r="F8" s="105"/>
      <c r="G8" s="32"/>
    </row>
    <row r="9" spans="1:8" ht="18.75" customHeight="1" thickBot="1" x14ac:dyDescent="0.25">
      <c r="A9" s="18">
        <v>1</v>
      </c>
      <c r="B9" s="19">
        <v>2</v>
      </c>
      <c r="C9" s="19">
        <v>3</v>
      </c>
      <c r="D9" s="19">
        <v>4</v>
      </c>
      <c r="E9" s="19">
        <v>5</v>
      </c>
      <c r="F9" s="19">
        <v>6</v>
      </c>
      <c r="G9" s="32"/>
    </row>
    <row r="10" spans="1:8" ht="49.15" customHeight="1" thickBot="1" x14ac:dyDescent="0.35">
      <c r="A10" s="11"/>
      <c r="B10" s="62"/>
      <c r="C10" s="37" t="s">
        <v>7</v>
      </c>
      <c r="D10" s="50">
        <f>6646145019+734030-8301009</f>
        <v>6638578040</v>
      </c>
      <c r="E10" s="43">
        <f>E11+E14+E18+E27+E33+E37+E51+E54+E49</f>
        <v>85546657.160000011</v>
      </c>
      <c r="F10" s="50">
        <f t="shared" ref="F10:F15" si="0">D10+E10</f>
        <v>6724124697.1599998</v>
      </c>
      <c r="G10" s="54"/>
      <c r="H10" s="2"/>
    </row>
    <row r="11" spans="1:8" ht="30.6" customHeight="1" x14ac:dyDescent="0.2">
      <c r="A11" s="75" t="s">
        <v>132</v>
      </c>
      <c r="B11" s="49"/>
      <c r="C11" s="49" t="s">
        <v>134</v>
      </c>
      <c r="D11" s="30">
        <f>D12</f>
        <v>279796</v>
      </c>
      <c r="E11" s="30">
        <f>E12</f>
        <v>2500000</v>
      </c>
      <c r="F11" s="30">
        <f t="shared" ref="F11:F12" si="1">D11+E11</f>
        <v>2779796</v>
      </c>
      <c r="G11" s="54"/>
      <c r="H11" s="2"/>
    </row>
    <row r="12" spans="1:8" ht="34.9" customHeight="1" x14ac:dyDescent="0.2">
      <c r="A12" s="75" t="s">
        <v>133</v>
      </c>
      <c r="B12" s="49"/>
      <c r="C12" s="49" t="s">
        <v>134</v>
      </c>
      <c r="D12" s="30">
        <v>279796</v>
      </c>
      <c r="E12" s="30">
        <f>E13</f>
        <v>2500000</v>
      </c>
      <c r="F12" s="30">
        <f t="shared" si="1"/>
        <v>2779796</v>
      </c>
      <c r="G12" s="54"/>
      <c r="H12" s="2"/>
    </row>
    <row r="13" spans="1:8" ht="112.15" customHeight="1" x14ac:dyDescent="0.2">
      <c r="A13" s="67" t="s">
        <v>136</v>
      </c>
      <c r="B13" s="67" t="s">
        <v>137</v>
      </c>
      <c r="C13" s="83" t="s">
        <v>135</v>
      </c>
      <c r="D13" s="45">
        <v>251000</v>
      </c>
      <c r="E13" s="45">
        <f>2500000</f>
        <v>2500000</v>
      </c>
      <c r="F13" s="45">
        <f>D13+E13</f>
        <v>2751000</v>
      </c>
      <c r="G13" s="92"/>
      <c r="H13" s="2"/>
    </row>
    <row r="14" spans="1:8" ht="43.15" customHeight="1" x14ac:dyDescent="0.2">
      <c r="A14" s="75" t="s">
        <v>23</v>
      </c>
      <c r="B14" s="49"/>
      <c r="C14" s="49" t="s">
        <v>12</v>
      </c>
      <c r="D14" s="30">
        <f>219150754</f>
        <v>219150754</v>
      </c>
      <c r="E14" s="30">
        <f>E15</f>
        <v>5100000</v>
      </c>
      <c r="F14" s="30">
        <f t="shared" si="0"/>
        <v>224250754</v>
      </c>
      <c r="G14" s="54"/>
      <c r="H14" s="2"/>
    </row>
    <row r="15" spans="1:8" ht="44.45" customHeight="1" x14ac:dyDescent="0.2">
      <c r="A15" s="75" t="s">
        <v>24</v>
      </c>
      <c r="B15" s="49"/>
      <c r="C15" s="49" t="s">
        <v>12</v>
      </c>
      <c r="D15" s="30">
        <f>217930904</f>
        <v>217930904</v>
      </c>
      <c r="E15" s="30">
        <f>SUM(E16:E17)</f>
        <v>5100000</v>
      </c>
      <c r="F15" s="30">
        <f t="shared" si="0"/>
        <v>223030904</v>
      </c>
      <c r="G15" s="7"/>
      <c r="H15" s="2"/>
    </row>
    <row r="16" spans="1:8" ht="80.45" customHeight="1" x14ac:dyDescent="0.2">
      <c r="A16" s="67" t="s">
        <v>26</v>
      </c>
      <c r="B16" s="67" t="s">
        <v>27</v>
      </c>
      <c r="C16" s="83" t="s">
        <v>25</v>
      </c>
      <c r="D16" s="45">
        <f>213749032</f>
        <v>213749032</v>
      </c>
      <c r="E16" s="45">
        <f>450000+150000</f>
        <v>600000</v>
      </c>
      <c r="F16" s="45">
        <f>D16+E16</f>
        <v>214349032</v>
      </c>
      <c r="G16" s="97"/>
      <c r="H16" s="92"/>
    </row>
    <row r="17" spans="1:9" ht="80.45" customHeight="1" x14ac:dyDescent="0.2">
      <c r="A17" s="67" t="s">
        <v>156</v>
      </c>
      <c r="B17" s="67" t="s">
        <v>157</v>
      </c>
      <c r="C17" s="82" t="s">
        <v>155</v>
      </c>
      <c r="D17" s="47">
        <v>0</v>
      </c>
      <c r="E17" s="45">
        <f>2500000+2000000</f>
        <v>4500000</v>
      </c>
      <c r="F17" s="45">
        <f t="shared" ref="F17" si="2">D17+E17</f>
        <v>4500000</v>
      </c>
      <c r="G17" s="92"/>
      <c r="H17" s="92"/>
    </row>
    <row r="18" spans="1:9" ht="41.45" customHeight="1" x14ac:dyDescent="0.2">
      <c r="A18" s="75" t="s">
        <v>28</v>
      </c>
      <c r="B18" s="49"/>
      <c r="C18" s="49" t="s">
        <v>72</v>
      </c>
      <c r="D18" s="30">
        <f>D19</f>
        <v>2364222759</v>
      </c>
      <c r="E18" s="30">
        <f>E19</f>
        <v>1544732.23</v>
      </c>
      <c r="F18" s="30">
        <f t="shared" ref="F18:F25" si="3">D18+E18</f>
        <v>2365767491.23</v>
      </c>
      <c r="G18" s="54"/>
      <c r="H18" s="2"/>
    </row>
    <row r="19" spans="1:9" ht="42" customHeight="1" x14ac:dyDescent="0.2">
      <c r="A19" s="75" t="s">
        <v>29</v>
      </c>
      <c r="B19" s="49"/>
      <c r="C19" s="49" t="s">
        <v>72</v>
      </c>
      <c r="D19" s="30">
        <f>2372523768-8301009</f>
        <v>2364222759</v>
      </c>
      <c r="E19" s="30">
        <f>E20+E21+E24+E25+E23</f>
        <v>1544732.23</v>
      </c>
      <c r="F19" s="30">
        <f t="shared" si="3"/>
        <v>2365767491.23</v>
      </c>
      <c r="G19" s="54"/>
      <c r="H19" s="2"/>
    </row>
    <row r="20" spans="1:9" ht="35.450000000000003" customHeight="1" x14ac:dyDescent="0.2">
      <c r="A20" s="67" t="s">
        <v>139</v>
      </c>
      <c r="B20" s="67" t="s">
        <v>140</v>
      </c>
      <c r="C20" s="82" t="s">
        <v>138</v>
      </c>
      <c r="D20" s="47">
        <v>749333545</v>
      </c>
      <c r="E20" s="95">
        <f>55000</f>
        <v>55000</v>
      </c>
      <c r="F20" s="45">
        <f t="shared" ref="F20" si="4">D20+E20</f>
        <v>749388545</v>
      </c>
      <c r="G20" s="7"/>
      <c r="H20" s="2"/>
    </row>
    <row r="21" spans="1:9" ht="115.9" customHeight="1" x14ac:dyDescent="0.2">
      <c r="A21" s="67" t="s">
        <v>30</v>
      </c>
      <c r="B21" s="67">
        <v>1020</v>
      </c>
      <c r="C21" s="82" t="s">
        <v>31</v>
      </c>
      <c r="D21" s="47">
        <f>1236950350-8301009</f>
        <v>1228649341</v>
      </c>
      <c r="E21" s="45">
        <v>3502095.23</v>
      </c>
      <c r="F21" s="45">
        <f t="shared" si="3"/>
        <v>1232151436.23</v>
      </c>
      <c r="G21" s="7"/>
      <c r="H21" s="7"/>
    </row>
    <row r="22" spans="1:9" ht="27.6" customHeight="1" x14ac:dyDescent="0.2">
      <c r="A22" s="71"/>
      <c r="B22" s="71"/>
      <c r="C22" s="48" t="s">
        <v>73</v>
      </c>
      <c r="D22" s="91">
        <f>840552308-4385557</f>
        <v>836166751</v>
      </c>
      <c r="E22" s="91">
        <v>2870570</v>
      </c>
      <c r="F22" s="91">
        <f>D22+E22</f>
        <v>839037321</v>
      </c>
      <c r="G22" s="7"/>
      <c r="H22" s="7"/>
    </row>
    <row r="23" spans="1:9" ht="57.6" customHeight="1" x14ac:dyDescent="0.2">
      <c r="A23" s="67" t="s">
        <v>141</v>
      </c>
      <c r="B23" s="67" t="s">
        <v>142</v>
      </c>
      <c r="C23" s="83" t="s">
        <v>143</v>
      </c>
      <c r="D23" s="45">
        <v>132802136</v>
      </c>
      <c r="E23" s="45">
        <f>398000</f>
        <v>398000</v>
      </c>
      <c r="F23" s="45">
        <f t="shared" ref="F23" si="5">D23+E23</f>
        <v>133200136</v>
      </c>
      <c r="G23" s="92"/>
      <c r="H23" s="7"/>
    </row>
    <row r="24" spans="1:9" ht="27.6" customHeight="1" x14ac:dyDescent="0.2">
      <c r="A24" s="67" t="s">
        <v>34</v>
      </c>
      <c r="B24" s="67" t="s">
        <v>33</v>
      </c>
      <c r="C24" s="83" t="s">
        <v>32</v>
      </c>
      <c r="D24" s="45">
        <v>40485019</v>
      </c>
      <c r="E24" s="45">
        <v>-70000</v>
      </c>
      <c r="F24" s="45">
        <f t="shared" ref="F24" si="6">D24+E24</f>
        <v>40415019</v>
      </c>
      <c r="G24" s="7"/>
      <c r="H24" s="7"/>
    </row>
    <row r="25" spans="1:9" ht="58.9" customHeight="1" x14ac:dyDescent="0.2">
      <c r="A25" s="67" t="s">
        <v>38</v>
      </c>
      <c r="B25" s="67">
        <v>5031</v>
      </c>
      <c r="C25" s="83" t="s">
        <v>37</v>
      </c>
      <c r="D25" s="45">
        <f>84985563</f>
        <v>84985563</v>
      </c>
      <c r="E25" s="45">
        <f>E26</f>
        <v>-2340363</v>
      </c>
      <c r="F25" s="45">
        <f t="shared" si="3"/>
        <v>82645200</v>
      </c>
      <c r="G25" s="96"/>
      <c r="H25" s="2"/>
    </row>
    <row r="26" spans="1:9" ht="41.45" customHeight="1" x14ac:dyDescent="0.2">
      <c r="A26" s="71"/>
      <c r="B26" s="71"/>
      <c r="C26" s="48" t="s">
        <v>66</v>
      </c>
      <c r="D26" s="91">
        <f>21088797</f>
        <v>21088797</v>
      </c>
      <c r="E26" s="91">
        <f>-2340363</f>
        <v>-2340363</v>
      </c>
      <c r="F26" s="91">
        <f>D26+E26</f>
        <v>18748434</v>
      </c>
      <c r="G26" s="54"/>
      <c r="H26" s="2"/>
    </row>
    <row r="27" spans="1:9" ht="46.15" customHeight="1" x14ac:dyDescent="0.2">
      <c r="A27" s="75" t="s">
        <v>39</v>
      </c>
      <c r="B27" s="49"/>
      <c r="C27" s="49" t="s">
        <v>15</v>
      </c>
      <c r="D27" s="30">
        <f>D28</f>
        <v>773466809</v>
      </c>
      <c r="E27" s="30">
        <f>E28</f>
        <v>4093805.48</v>
      </c>
      <c r="F27" s="30">
        <f t="shared" ref="F27:F76" si="7">D27+E27</f>
        <v>777560614.48000002</v>
      </c>
      <c r="G27" s="54"/>
      <c r="H27" s="2"/>
    </row>
    <row r="28" spans="1:9" ht="45.6" customHeight="1" x14ac:dyDescent="0.2">
      <c r="A28" s="75" t="s">
        <v>40</v>
      </c>
      <c r="B28" s="49"/>
      <c r="C28" s="49" t="s">
        <v>15</v>
      </c>
      <c r="D28" s="30">
        <v>773466809</v>
      </c>
      <c r="E28" s="30">
        <f>SUM(E29:E32)</f>
        <v>4093805.48</v>
      </c>
      <c r="F28" s="30">
        <f t="shared" si="7"/>
        <v>777560614.48000002</v>
      </c>
      <c r="G28" s="92"/>
      <c r="H28" s="92"/>
    </row>
    <row r="29" spans="1:9" ht="40.15" customHeight="1" x14ac:dyDescent="0.2">
      <c r="A29" s="67" t="s">
        <v>41</v>
      </c>
      <c r="B29" s="67" t="s">
        <v>17</v>
      </c>
      <c r="C29" s="83" t="s">
        <v>16</v>
      </c>
      <c r="D29" s="45">
        <v>555624895</v>
      </c>
      <c r="E29" s="45">
        <f>183674.6+150000+550000</f>
        <v>883674.6</v>
      </c>
      <c r="F29" s="45">
        <f t="shared" si="7"/>
        <v>556508569.60000002</v>
      </c>
      <c r="G29" s="89"/>
      <c r="H29" s="89"/>
      <c r="I29" s="80"/>
    </row>
    <row r="30" spans="1:9" ht="52.9" customHeight="1" x14ac:dyDescent="0.2">
      <c r="A30" s="67" t="s">
        <v>152</v>
      </c>
      <c r="B30" s="67" t="s">
        <v>153</v>
      </c>
      <c r="C30" s="83" t="s">
        <v>154</v>
      </c>
      <c r="D30" s="45">
        <v>5970884</v>
      </c>
      <c r="E30" s="45">
        <f>154073</f>
        <v>154073</v>
      </c>
      <c r="F30" s="45">
        <f t="shared" ref="F30" si="8">D30+E30</f>
        <v>6124957</v>
      </c>
      <c r="G30" s="92"/>
      <c r="H30" s="89"/>
      <c r="I30" s="80"/>
    </row>
    <row r="31" spans="1:9" ht="79.150000000000006" customHeight="1" x14ac:dyDescent="0.2">
      <c r="A31" s="67" t="s">
        <v>42</v>
      </c>
      <c r="B31" s="67">
        <v>2111</v>
      </c>
      <c r="C31" s="83" t="s">
        <v>98</v>
      </c>
      <c r="D31" s="45">
        <v>59275000</v>
      </c>
      <c r="E31" s="45">
        <f>1035439</f>
        <v>1035439</v>
      </c>
      <c r="F31" s="45">
        <f t="shared" si="7"/>
        <v>60310439</v>
      </c>
      <c r="G31" s="92"/>
      <c r="H31" s="2"/>
    </row>
    <row r="32" spans="1:9" ht="61.9" customHeight="1" x14ac:dyDescent="0.2">
      <c r="A32" s="67" t="s">
        <v>99</v>
      </c>
      <c r="B32" s="67" t="s">
        <v>100</v>
      </c>
      <c r="C32" s="83" t="s">
        <v>101</v>
      </c>
      <c r="D32" s="45">
        <v>12523213</v>
      </c>
      <c r="E32" s="45">
        <v>2020618.88</v>
      </c>
      <c r="F32" s="45">
        <f t="shared" ref="F32" si="9">D32+E32</f>
        <v>14543831.879999999</v>
      </c>
      <c r="G32" s="89"/>
      <c r="H32" s="89"/>
    </row>
    <row r="33" spans="1:9" ht="48.6" customHeight="1" x14ac:dyDescent="0.2">
      <c r="A33" s="75" t="s">
        <v>93</v>
      </c>
      <c r="B33" s="49"/>
      <c r="C33" s="49" t="s">
        <v>95</v>
      </c>
      <c r="D33" s="30">
        <f>D34</f>
        <v>837239872</v>
      </c>
      <c r="E33" s="30">
        <f>E34</f>
        <v>1328330</v>
      </c>
      <c r="F33" s="30">
        <f t="shared" ref="F33:F35" si="10">D33+E33</f>
        <v>838568202</v>
      </c>
      <c r="G33" s="54"/>
      <c r="H33" s="2"/>
    </row>
    <row r="34" spans="1:9" ht="48.6" customHeight="1" x14ac:dyDescent="0.2">
      <c r="A34" s="75" t="s">
        <v>94</v>
      </c>
      <c r="B34" s="49"/>
      <c r="C34" s="49" t="s">
        <v>95</v>
      </c>
      <c r="D34" s="30">
        <v>837239872</v>
      </c>
      <c r="E34" s="30">
        <f>SUM(E35:E36)</f>
        <v>1328330</v>
      </c>
      <c r="F34" s="30">
        <f t="shared" si="10"/>
        <v>838568202</v>
      </c>
      <c r="G34" s="92"/>
      <c r="H34" s="2"/>
    </row>
    <row r="35" spans="1:9" ht="48.6" customHeight="1" x14ac:dyDescent="0.2">
      <c r="A35" s="67" t="s">
        <v>97</v>
      </c>
      <c r="B35" s="67">
        <v>3032</v>
      </c>
      <c r="C35" s="83" t="s">
        <v>96</v>
      </c>
      <c r="D35" s="45">
        <v>234556</v>
      </c>
      <c r="E35" s="45">
        <v>528330</v>
      </c>
      <c r="F35" s="45">
        <f t="shared" si="10"/>
        <v>762886</v>
      </c>
      <c r="G35" s="92"/>
      <c r="H35" s="2"/>
    </row>
    <row r="36" spans="1:9" ht="36" customHeight="1" x14ac:dyDescent="0.2">
      <c r="A36" s="67" t="s">
        <v>173</v>
      </c>
      <c r="B36" s="67" t="s">
        <v>171</v>
      </c>
      <c r="C36" s="83" t="s">
        <v>169</v>
      </c>
      <c r="D36" s="45">
        <v>0</v>
      </c>
      <c r="E36" s="45">
        <f>1000000-200000</f>
        <v>800000</v>
      </c>
      <c r="F36" s="45">
        <f t="shared" ref="F36" si="11">D36+E36</f>
        <v>800000</v>
      </c>
      <c r="G36" s="92"/>
      <c r="H36" s="2"/>
    </row>
    <row r="37" spans="1:9" ht="64.150000000000006" customHeight="1" x14ac:dyDescent="0.2">
      <c r="A37" s="77">
        <v>1200000</v>
      </c>
      <c r="B37" s="49"/>
      <c r="C37" s="49" t="s">
        <v>102</v>
      </c>
      <c r="D37" s="30">
        <f>D38</f>
        <v>585224549</v>
      </c>
      <c r="E37" s="30">
        <f>E38</f>
        <v>64227721</v>
      </c>
      <c r="F37" s="30">
        <f t="shared" si="7"/>
        <v>649452270</v>
      </c>
      <c r="G37" s="54"/>
      <c r="H37" s="2"/>
    </row>
    <row r="38" spans="1:9" ht="59.45" customHeight="1" x14ac:dyDescent="0.2">
      <c r="A38" s="77">
        <v>1210000</v>
      </c>
      <c r="B38" s="49"/>
      <c r="C38" s="49" t="s">
        <v>102</v>
      </c>
      <c r="D38" s="30">
        <v>585224549</v>
      </c>
      <c r="E38" s="30">
        <f>SUM(E39:E43)</f>
        <v>64227721</v>
      </c>
      <c r="F38" s="30">
        <f t="shared" si="7"/>
        <v>649452270</v>
      </c>
      <c r="G38" s="92"/>
      <c r="H38" s="2"/>
      <c r="I38" s="80"/>
    </row>
    <row r="39" spans="1:9" ht="65.45" customHeight="1" x14ac:dyDescent="0.2">
      <c r="A39" s="67" t="s">
        <v>103</v>
      </c>
      <c r="B39" s="67" t="s">
        <v>104</v>
      </c>
      <c r="C39" s="83" t="s">
        <v>105</v>
      </c>
      <c r="D39" s="45">
        <v>0</v>
      </c>
      <c r="E39" s="45">
        <v>12752190</v>
      </c>
      <c r="F39" s="45">
        <f>D39+E39</f>
        <v>12752190</v>
      </c>
      <c r="G39" s="7"/>
      <c r="H39" s="2"/>
    </row>
    <row r="40" spans="1:9" ht="42.6" customHeight="1" x14ac:dyDescent="0.2">
      <c r="A40" s="67">
        <v>1216030</v>
      </c>
      <c r="B40" s="67">
        <v>6030</v>
      </c>
      <c r="C40" s="83" t="s">
        <v>47</v>
      </c>
      <c r="D40" s="45">
        <v>245602379</v>
      </c>
      <c r="E40" s="45">
        <f>1500000+100000+52000</f>
        <v>1652000</v>
      </c>
      <c r="F40" s="45">
        <f>D40+E40</f>
        <v>247254379</v>
      </c>
      <c r="G40" s="54"/>
      <c r="H40" s="2"/>
    </row>
    <row r="41" spans="1:9" ht="46.15" customHeight="1" x14ac:dyDescent="0.2">
      <c r="A41" s="67" t="s">
        <v>123</v>
      </c>
      <c r="B41" s="67" t="s">
        <v>124</v>
      </c>
      <c r="C41" s="83" t="s">
        <v>125</v>
      </c>
      <c r="D41" s="45">
        <v>28531150</v>
      </c>
      <c r="E41" s="45">
        <f>-904000-100000</f>
        <v>-1004000</v>
      </c>
      <c r="F41" s="45">
        <f t="shared" ref="F41:F49" si="12">D41+E41</f>
        <v>27527150</v>
      </c>
      <c r="G41" s="54"/>
      <c r="H41" s="2"/>
    </row>
    <row r="42" spans="1:9" ht="64.900000000000006" customHeight="1" x14ac:dyDescent="0.2">
      <c r="A42" s="67" t="s">
        <v>163</v>
      </c>
      <c r="B42" s="67" t="s">
        <v>164</v>
      </c>
      <c r="C42" s="83" t="s">
        <v>165</v>
      </c>
      <c r="D42" s="45">
        <v>265652900</v>
      </c>
      <c r="E42" s="45">
        <f>50000000-76469</f>
        <v>49923531</v>
      </c>
      <c r="F42" s="45">
        <f t="shared" ref="F42" si="13">D42+E42</f>
        <v>315576431</v>
      </c>
      <c r="G42" s="54"/>
      <c r="H42" s="2"/>
    </row>
    <row r="43" spans="1:9" ht="45" customHeight="1" x14ac:dyDescent="0.2">
      <c r="A43" s="67" t="s">
        <v>126</v>
      </c>
      <c r="B43" s="67" t="s">
        <v>127</v>
      </c>
      <c r="C43" s="83" t="s">
        <v>128</v>
      </c>
      <c r="D43" s="45">
        <v>788120</v>
      </c>
      <c r="E43" s="45">
        <f>E44</f>
        <v>904000</v>
      </c>
      <c r="F43" s="45">
        <f t="shared" si="12"/>
        <v>1692120</v>
      </c>
      <c r="G43" s="54"/>
      <c r="H43" s="2"/>
    </row>
    <row r="44" spans="1:9" ht="113.45" customHeight="1" x14ac:dyDescent="0.2">
      <c r="A44" s="67"/>
      <c r="B44" s="67"/>
      <c r="C44" s="87" t="s">
        <v>146</v>
      </c>
      <c r="D44" s="55">
        <v>0</v>
      </c>
      <c r="E44" s="55">
        <f>E46+E47</f>
        <v>904000</v>
      </c>
      <c r="F44" s="55">
        <f t="shared" si="12"/>
        <v>904000</v>
      </c>
      <c r="G44" s="54"/>
      <c r="H44" s="2"/>
    </row>
    <row r="45" spans="1:9" ht="40.15" customHeight="1" x14ac:dyDescent="0.2">
      <c r="A45" s="67"/>
      <c r="B45" s="81"/>
      <c r="C45" s="83" t="s">
        <v>129</v>
      </c>
      <c r="D45" s="45"/>
      <c r="E45" s="45"/>
      <c r="F45" s="45"/>
      <c r="G45" s="54"/>
      <c r="H45" s="2"/>
    </row>
    <row r="46" spans="1:9" ht="27" customHeight="1" x14ac:dyDescent="0.2">
      <c r="A46" s="67"/>
      <c r="B46" s="81"/>
      <c r="C46" s="87" t="s">
        <v>130</v>
      </c>
      <c r="D46" s="55">
        <v>0</v>
      </c>
      <c r="E46" s="55">
        <f>615000</f>
        <v>615000</v>
      </c>
      <c r="F46" s="55">
        <f t="shared" si="12"/>
        <v>615000</v>
      </c>
      <c r="G46" s="54"/>
      <c r="H46" s="2"/>
    </row>
    <row r="47" spans="1:9" ht="21.6" customHeight="1" x14ac:dyDescent="0.2">
      <c r="A47" s="67"/>
      <c r="B47" s="66"/>
      <c r="C47" s="87" t="s">
        <v>131</v>
      </c>
      <c r="D47" s="55">
        <v>0</v>
      </c>
      <c r="E47" s="55">
        <f>289000</f>
        <v>289000</v>
      </c>
      <c r="F47" s="55">
        <f t="shared" si="12"/>
        <v>289000</v>
      </c>
      <c r="G47" s="54"/>
      <c r="H47" s="2"/>
    </row>
    <row r="48" spans="1:9" ht="62.45" customHeight="1" x14ac:dyDescent="0.2">
      <c r="A48" s="77">
        <v>1500000</v>
      </c>
      <c r="B48" s="49"/>
      <c r="C48" s="49" t="s">
        <v>11</v>
      </c>
      <c r="D48" s="30">
        <f>D49</f>
        <v>257022</v>
      </c>
      <c r="E48" s="30">
        <f>E49</f>
        <v>4000000</v>
      </c>
      <c r="F48" s="30">
        <f t="shared" si="12"/>
        <v>4257022</v>
      </c>
      <c r="G48" s="54"/>
      <c r="H48" s="2"/>
    </row>
    <row r="49" spans="1:8" ht="63.6" customHeight="1" x14ac:dyDescent="0.2">
      <c r="A49" s="77">
        <v>1510000</v>
      </c>
      <c r="B49" s="49"/>
      <c r="C49" s="49" t="s">
        <v>11</v>
      </c>
      <c r="D49" s="30">
        <v>257022</v>
      </c>
      <c r="E49" s="30">
        <f>E50</f>
        <v>4000000</v>
      </c>
      <c r="F49" s="30">
        <f t="shared" si="12"/>
        <v>4257022</v>
      </c>
      <c r="G49" s="54"/>
      <c r="H49" s="2"/>
    </row>
    <row r="50" spans="1:8" ht="42" customHeight="1" x14ac:dyDescent="0.2">
      <c r="A50" s="76" t="s">
        <v>170</v>
      </c>
      <c r="B50" s="72" t="s">
        <v>171</v>
      </c>
      <c r="C50" s="90" t="s">
        <v>169</v>
      </c>
      <c r="D50" s="57">
        <v>96692</v>
      </c>
      <c r="E50" s="57">
        <f>4000000</f>
        <v>4000000</v>
      </c>
      <c r="F50" s="45">
        <f>D50+E50</f>
        <v>4096692</v>
      </c>
      <c r="G50" s="92"/>
      <c r="H50" s="2"/>
    </row>
    <row r="51" spans="1:8" ht="63.6" customHeight="1" x14ac:dyDescent="0.2">
      <c r="A51" s="77">
        <v>3400000</v>
      </c>
      <c r="B51" s="27"/>
      <c r="C51" s="49" t="s">
        <v>64</v>
      </c>
      <c r="D51" s="30">
        <f>D52</f>
        <v>1897695</v>
      </c>
      <c r="E51" s="30">
        <f>E52</f>
        <v>-450000</v>
      </c>
      <c r="F51" s="30">
        <f t="shared" ref="F51:F52" si="14">D51+E51</f>
        <v>1447695</v>
      </c>
      <c r="G51" s="54"/>
      <c r="H51" s="2"/>
    </row>
    <row r="52" spans="1:8" ht="61.15" customHeight="1" x14ac:dyDescent="0.2">
      <c r="A52" s="77">
        <v>3410000</v>
      </c>
      <c r="B52" s="49"/>
      <c r="C52" s="49" t="s">
        <v>64</v>
      </c>
      <c r="D52" s="30">
        <v>1897695</v>
      </c>
      <c r="E52" s="30">
        <f>E53</f>
        <v>-450000</v>
      </c>
      <c r="F52" s="30">
        <f t="shared" si="14"/>
        <v>1447695</v>
      </c>
      <c r="G52" s="54"/>
      <c r="H52" s="2"/>
    </row>
    <row r="53" spans="1:8" ht="45.6" customHeight="1" x14ac:dyDescent="0.2">
      <c r="A53" s="76" t="s">
        <v>65</v>
      </c>
      <c r="B53" s="72" t="s">
        <v>63</v>
      </c>
      <c r="C53" s="90" t="s">
        <v>62</v>
      </c>
      <c r="D53" s="57">
        <v>1897695</v>
      </c>
      <c r="E53" s="57">
        <f>-450000</f>
        <v>-450000</v>
      </c>
      <c r="F53" s="45">
        <f>D53+E53</f>
        <v>1447695</v>
      </c>
      <c r="G53" s="54"/>
      <c r="H53" s="2"/>
    </row>
    <row r="54" spans="1:8" ht="42.6" customHeight="1" x14ac:dyDescent="0.2">
      <c r="A54" s="77">
        <v>3700000</v>
      </c>
      <c r="B54" s="27"/>
      <c r="C54" s="49" t="s">
        <v>92</v>
      </c>
      <c r="D54" s="30">
        <f>D55</f>
        <v>1271354559</v>
      </c>
      <c r="E54" s="30">
        <f>E55</f>
        <v>3202068.45</v>
      </c>
      <c r="F54" s="30">
        <f t="shared" ref="F54:F56" si="15">D54+E54</f>
        <v>1274556627.45</v>
      </c>
      <c r="G54" s="7"/>
      <c r="H54" s="2"/>
    </row>
    <row r="55" spans="1:8" ht="48.6" customHeight="1" x14ac:dyDescent="0.2">
      <c r="A55" s="77">
        <v>3710000</v>
      </c>
      <c r="B55" s="49"/>
      <c r="C55" s="49" t="s">
        <v>92</v>
      </c>
      <c r="D55" s="30">
        <v>1271354559</v>
      </c>
      <c r="E55" s="30">
        <f>E56+E64</f>
        <v>3202068.45</v>
      </c>
      <c r="F55" s="30">
        <f t="shared" si="15"/>
        <v>1274556627.45</v>
      </c>
      <c r="G55" s="7"/>
      <c r="H55" s="2"/>
    </row>
    <row r="56" spans="1:8" ht="30.6" customHeight="1" x14ac:dyDescent="0.2">
      <c r="A56" s="67" t="s">
        <v>159</v>
      </c>
      <c r="B56" s="67" t="s">
        <v>160</v>
      </c>
      <c r="C56" s="83" t="s">
        <v>158</v>
      </c>
      <c r="D56" s="45">
        <f>270998565</f>
        <v>270998565</v>
      </c>
      <c r="E56" s="45">
        <f>SUM(E58:E63)</f>
        <v>736500</v>
      </c>
      <c r="F56" s="45">
        <f t="shared" si="15"/>
        <v>271735065</v>
      </c>
      <c r="G56" s="7"/>
      <c r="H56" s="2"/>
    </row>
    <row r="57" spans="1:8" ht="37.9" customHeight="1" x14ac:dyDescent="0.2">
      <c r="A57" s="67"/>
      <c r="B57" s="81"/>
      <c r="C57" s="73" t="s">
        <v>129</v>
      </c>
      <c r="D57" s="45"/>
      <c r="E57" s="45"/>
      <c r="F57" s="45"/>
      <c r="G57" s="7"/>
      <c r="H57" s="2"/>
    </row>
    <row r="58" spans="1:8" ht="27" customHeight="1" x14ac:dyDescent="0.2">
      <c r="A58" s="67"/>
      <c r="B58" s="81"/>
      <c r="C58" s="87" t="s">
        <v>46</v>
      </c>
      <c r="D58" s="55">
        <f>36195940</f>
        <v>36195940</v>
      </c>
      <c r="E58" s="55">
        <f>154500</f>
        <v>154500</v>
      </c>
      <c r="F58" s="55">
        <f t="shared" ref="F58" si="16">D58+E58</f>
        <v>36350440</v>
      </c>
      <c r="G58" s="7"/>
      <c r="H58" s="2"/>
    </row>
    <row r="59" spans="1:8" ht="27" customHeight="1" x14ac:dyDescent="0.2">
      <c r="A59" s="67"/>
      <c r="B59" s="81"/>
      <c r="C59" s="87" t="s">
        <v>161</v>
      </c>
      <c r="D59" s="55">
        <f>44918710</f>
        <v>44918710</v>
      </c>
      <c r="E59" s="55">
        <f>157500</f>
        <v>157500</v>
      </c>
      <c r="F59" s="55">
        <f t="shared" ref="F59:F60" si="17">D59+E59</f>
        <v>45076210</v>
      </c>
      <c r="G59" s="7"/>
      <c r="H59" s="2"/>
    </row>
    <row r="60" spans="1:8" ht="27" customHeight="1" x14ac:dyDescent="0.2">
      <c r="A60" s="67"/>
      <c r="B60" s="81"/>
      <c r="C60" s="87" t="s">
        <v>45</v>
      </c>
      <c r="D60" s="55">
        <f>35324144</f>
        <v>35324144</v>
      </c>
      <c r="E60" s="55">
        <f>109500</f>
        <v>109500</v>
      </c>
      <c r="F60" s="55">
        <f t="shared" si="17"/>
        <v>35433644</v>
      </c>
      <c r="G60" s="7"/>
      <c r="H60" s="2"/>
    </row>
    <row r="61" spans="1:8" ht="30" customHeight="1" x14ac:dyDescent="0.2">
      <c r="A61" s="67"/>
      <c r="B61" s="81"/>
      <c r="C61" s="87" t="s">
        <v>162</v>
      </c>
      <c r="D61" s="55">
        <f>35876253</f>
        <v>35876253</v>
      </c>
      <c r="E61" s="55">
        <f>131500</f>
        <v>131500</v>
      </c>
      <c r="F61" s="55">
        <f t="shared" ref="F61:F62" si="18">D61+E61</f>
        <v>36007753</v>
      </c>
      <c r="G61" s="7"/>
      <c r="H61" s="2"/>
    </row>
    <row r="62" spans="1:8" ht="25.15" customHeight="1" x14ac:dyDescent="0.2">
      <c r="A62" s="67"/>
      <c r="B62" s="81"/>
      <c r="C62" s="87" t="s">
        <v>131</v>
      </c>
      <c r="D62" s="55">
        <f>51192688</f>
        <v>51192688</v>
      </c>
      <c r="E62" s="55">
        <f>129500</f>
        <v>129500</v>
      </c>
      <c r="F62" s="55">
        <f t="shared" si="18"/>
        <v>51322188</v>
      </c>
      <c r="G62" s="7"/>
      <c r="H62" s="2"/>
    </row>
    <row r="63" spans="1:8" ht="25.15" customHeight="1" x14ac:dyDescent="0.2">
      <c r="A63" s="67"/>
      <c r="B63" s="81"/>
      <c r="C63" s="87" t="s">
        <v>130</v>
      </c>
      <c r="D63" s="55">
        <f>33592190</f>
        <v>33592190</v>
      </c>
      <c r="E63" s="55">
        <v>54000</v>
      </c>
      <c r="F63" s="55">
        <f t="shared" ref="F63" si="19">D63+E63</f>
        <v>33646190</v>
      </c>
      <c r="G63" s="7"/>
      <c r="H63" s="2"/>
    </row>
    <row r="64" spans="1:8" ht="134.44999999999999" customHeight="1" x14ac:dyDescent="0.2">
      <c r="A64" s="67" t="s">
        <v>77</v>
      </c>
      <c r="B64" s="67" t="s">
        <v>76</v>
      </c>
      <c r="C64" s="83" t="s">
        <v>78</v>
      </c>
      <c r="D64" s="45">
        <f>SUM(D69:D69)</f>
        <v>0</v>
      </c>
      <c r="E64" s="45">
        <f>E66+E67</f>
        <v>2465568.4500000002</v>
      </c>
      <c r="F64" s="45">
        <f t="shared" ref="F64:F68" si="20">D64+E64</f>
        <v>2465568.4500000002</v>
      </c>
      <c r="G64" s="7"/>
      <c r="H64" s="2"/>
    </row>
    <row r="65" spans="1:8" ht="24" customHeight="1" x14ac:dyDescent="0.2">
      <c r="A65" s="67"/>
      <c r="B65" s="81"/>
      <c r="C65" s="73" t="s">
        <v>89</v>
      </c>
      <c r="D65" s="45"/>
      <c r="E65" s="45"/>
      <c r="F65" s="45"/>
      <c r="G65" s="7"/>
      <c r="H65" s="2"/>
    </row>
    <row r="66" spans="1:8" ht="24.6" customHeight="1" x14ac:dyDescent="0.2">
      <c r="A66" s="67"/>
      <c r="B66" s="81"/>
      <c r="C66" s="83" t="s">
        <v>91</v>
      </c>
      <c r="D66" s="45">
        <v>0</v>
      </c>
      <c r="E66" s="45">
        <v>140000</v>
      </c>
      <c r="F66" s="45">
        <f t="shared" si="20"/>
        <v>140000</v>
      </c>
      <c r="G66" s="7"/>
      <c r="H66" s="2"/>
    </row>
    <row r="67" spans="1:8" ht="25.15" customHeight="1" x14ac:dyDescent="0.2">
      <c r="A67" s="67"/>
      <c r="B67" s="81"/>
      <c r="C67" s="83" t="s">
        <v>90</v>
      </c>
      <c r="D67" s="45">
        <v>0</v>
      </c>
      <c r="E67" s="45">
        <f>SUM(E68:E69)</f>
        <v>2325568.4500000002</v>
      </c>
      <c r="F67" s="45">
        <f t="shared" si="20"/>
        <v>2325568.4500000002</v>
      </c>
      <c r="G67" s="7"/>
      <c r="H67" s="2"/>
    </row>
    <row r="68" spans="1:8" ht="25.15" customHeight="1" x14ac:dyDescent="0.2">
      <c r="A68" s="67"/>
      <c r="B68" s="81"/>
      <c r="C68" s="87" t="s">
        <v>46</v>
      </c>
      <c r="D68" s="55">
        <v>0</v>
      </c>
      <c r="E68" s="55">
        <v>2000000</v>
      </c>
      <c r="F68" s="55">
        <f t="shared" si="20"/>
        <v>2000000</v>
      </c>
      <c r="G68" s="7"/>
      <c r="H68" s="2"/>
    </row>
    <row r="69" spans="1:8" ht="24.6" customHeight="1" thickBot="1" x14ac:dyDescent="0.25">
      <c r="A69" s="67"/>
      <c r="B69" s="81"/>
      <c r="C69" s="87" t="s">
        <v>45</v>
      </c>
      <c r="D69" s="55">
        <v>0</v>
      </c>
      <c r="E69" s="55">
        <v>325568.45</v>
      </c>
      <c r="F69" s="55">
        <f t="shared" ref="F69" si="21">D69+E69</f>
        <v>325568.45</v>
      </c>
      <c r="G69" s="7"/>
      <c r="H69" s="2"/>
    </row>
    <row r="70" spans="1:8" ht="43.9" customHeight="1" x14ac:dyDescent="0.3">
      <c r="A70" s="41"/>
      <c r="B70" s="63"/>
      <c r="C70" s="38" t="s">
        <v>8</v>
      </c>
      <c r="D70" s="94">
        <f>852395971+3503808</f>
        <v>855899779</v>
      </c>
      <c r="E70" s="28">
        <f>E77+E96+E110+E121+E136+E156+E161+E165+E72+E105</f>
        <v>70742913.650000006</v>
      </c>
      <c r="F70" s="28">
        <f t="shared" si="7"/>
        <v>926642692.64999998</v>
      </c>
      <c r="G70" s="7"/>
      <c r="H70" s="2"/>
    </row>
    <row r="71" spans="1:8" ht="27.6" customHeight="1" thickBot="1" x14ac:dyDescent="0.35">
      <c r="A71" s="42"/>
      <c r="B71" s="64"/>
      <c r="C71" s="39" t="s">
        <v>6</v>
      </c>
      <c r="D71" s="29">
        <f>624792985+3503808</f>
        <v>628296793</v>
      </c>
      <c r="E71" s="29">
        <f>E79+E98+E112+E123+E138+E158+E167+E74+E107</f>
        <v>57023460.289999999</v>
      </c>
      <c r="F71" s="29">
        <f t="shared" si="7"/>
        <v>685320253.28999996</v>
      </c>
      <c r="G71" s="7"/>
      <c r="H71" s="2"/>
    </row>
    <row r="72" spans="1:8" ht="42" customHeight="1" x14ac:dyDescent="0.2">
      <c r="A72" s="75" t="s">
        <v>23</v>
      </c>
      <c r="B72" s="49"/>
      <c r="C72" s="49" t="s">
        <v>12</v>
      </c>
      <c r="D72" s="30">
        <v>9642652</v>
      </c>
      <c r="E72" s="30">
        <f>E73</f>
        <v>1300000</v>
      </c>
      <c r="F72" s="30">
        <f t="shared" si="7"/>
        <v>10942652</v>
      </c>
      <c r="G72" s="7"/>
      <c r="H72" s="2"/>
    </row>
    <row r="73" spans="1:8" ht="42.6" customHeight="1" x14ac:dyDescent="0.2">
      <c r="A73" s="75" t="s">
        <v>24</v>
      </c>
      <c r="B73" s="49"/>
      <c r="C73" s="49" t="s">
        <v>12</v>
      </c>
      <c r="D73" s="30">
        <v>9029355</v>
      </c>
      <c r="E73" s="30">
        <f>E75</f>
        <v>1300000</v>
      </c>
      <c r="F73" s="30">
        <f t="shared" si="7"/>
        <v>10329355</v>
      </c>
      <c r="G73" s="7"/>
      <c r="H73" s="2"/>
    </row>
    <row r="74" spans="1:8" ht="27.6" customHeight="1" x14ac:dyDescent="0.2">
      <c r="A74" s="78"/>
      <c r="B74" s="68"/>
      <c r="C74" s="68" t="s">
        <v>6</v>
      </c>
      <c r="D74" s="46">
        <v>8968500</v>
      </c>
      <c r="E74" s="46">
        <f>E76</f>
        <v>1300000</v>
      </c>
      <c r="F74" s="46">
        <f t="shared" si="7"/>
        <v>10268500</v>
      </c>
      <c r="G74" s="7"/>
      <c r="H74" s="2"/>
    </row>
    <row r="75" spans="1:8" ht="82.9" customHeight="1" x14ac:dyDescent="0.2">
      <c r="A75" s="67" t="s">
        <v>156</v>
      </c>
      <c r="B75" s="67" t="s">
        <v>157</v>
      </c>
      <c r="C75" s="82" t="s">
        <v>155</v>
      </c>
      <c r="D75" s="47">
        <v>0</v>
      </c>
      <c r="E75" s="45">
        <f>E76</f>
        <v>1300000</v>
      </c>
      <c r="F75" s="45">
        <f t="shared" si="7"/>
        <v>1300000</v>
      </c>
      <c r="G75" s="92"/>
      <c r="H75" s="2"/>
    </row>
    <row r="76" spans="1:8" ht="27.6" customHeight="1" x14ac:dyDescent="0.2">
      <c r="A76" s="56"/>
      <c r="B76" s="56"/>
      <c r="C76" s="48" t="s">
        <v>6</v>
      </c>
      <c r="D76" s="69">
        <v>0</v>
      </c>
      <c r="E76" s="55">
        <f>1000000+300000</f>
        <v>1300000</v>
      </c>
      <c r="F76" s="55">
        <f t="shared" si="7"/>
        <v>1300000</v>
      </c>
      <c r="G76" s="7"/>
      <c r="H76" s="2"/>
    </row>
    <row r="77" spans="1:8" ht="46.9" customHeight="1" x14ac:dyDescent="0.2">
      <c r="A77" s="75" t="s">
        <v>28</v>
      </c>
      <c r="B77" s="49"/>
      <c r="C77" s="49" t="s">
        <v>72</v>
      </c>
      <c r="D77" s="30">
        <f>D78</f>
        <v>204622213</v>
      </c>
      <c r="E77" s="30">
        <f>E78</f>
        <v>20921561.379999999</v>
      </c>
      <c r="F77" s="30">
        <f t="shared" ref="F77:F102" si="22">D77+E77</f>
        <v>225543774.38</v>
      </c>
      <c r="G77" s="7"/>
      <c r="H77" s="7"/>
    </row>
    <row r="78" spans="1:8" ht="45.6" customHeight="1" x14ac:dyDescent="0.2">
      <c r="A78" s="75" t="s">
        <v>29</v>
      </c>
      <c r="B78" s="49"/>
      <c r="C78" s="49" t="s">
        <v>72</v>
      </c>
      <c r="D78" s="30">
        <f>201118405+3503808</f>
        <v>204622213</v>
      </c>
      <c r="E78" s="30">
        <f>E81+E85+E87+E89+E91+E94+E83</f>
        <v>20921561.379999999</v>
      </c>
      <c r="F78" s="30">
        <f t="shared" si="22"/>
        <v>225543774.38</v>
      </c>
      <c r="G78" s="7"/>
      <c r="H78" s="7"/>
    </row>
    <row r="79" spans="1:8" ht="30.6" customHeight="1" x14ac:dyDescent="0.2">
      <c r="A79" s="78"/>
      <c r="B79" s="68"/>
      <c r="C79" s="68" t="s">
        <v>6</v>
      </c>
      <c r="D79" s="46">
        <f>90191282+3503808</f>
        <v>93695090</v>
      </c>
      <c r="E79" s="46">
        <f>E82+E86+E88+E90+E92+E84</f>
        <v>18580414.289999999</v>
      </c>
      <c r="F79" s="46">
        <f t="shared" si="22"/>
        <v>112275504.28999999</v>
      </c>
      <c r="G79" s="7"/>
      <c r="H79" s="7"/>
    </row>
    <row r="80" spans="1:8" ht="93.6" customHeight="1" x14ac:dyDescent="0.2">
      <c r="A80" s="85"/>
      <c r="B80" s="68"/>
      <c r="C80" s="86" t="s">
        <v>79</v>
      </c>
      <c r="D80" s="46">
        <v>0</v>
      </c>
      <c r="E80" s="46">
        <f>E93</f>
        <v>12870319.18</v>
      </c>
      <c r="F80" s="46">
        <f>D80+E80</f>
        <v>12870319.18</v>
      </c>
      <c r="G80" s="7"/>
      <c r="H80" s="7"/>
    </row>
    <row r="81" spans="1:8" ht="112.9" customHeight="1" x14ac:dyDescent="0.2">
      <c r="A81" s="67" t="s">
        <v>30</v>
      </c>
      <c r="B81" s="67">
        <v>1020</v>
      </c>
      <c r="C81" s="82" t="s">
        <v>31</v>
      </c>
      <c r="D81" s="47">
        <f>60965895+3503808</f>
        <v>64469703</v>
      </c>
      <c r="E81" s="45">
        <f>E82</f>
        <v>463645.69</v>
      </c>
      <c r="F81" s="45">
        <f t="shared" si="22"/>
        <v>64933348.689999998</v>
      </c>
      <c r="G81" s="92"/>
      <c r="H81" s="7"/>
    </row>
    <row r="82" spans="1:8" ht="23.25" customHeight="1" x14ac:dyDescent="0.2">
      <c r="A82" s="56"/>
      <c r="B82" s="56"/>
      <c r="C82" s="48" t="s">
        <v>6</v>
      </c>
      <c r="D82" s="69">
        <f>9090007+3503808</f>
        <v>12593815</v>
      </c>
      <c r="E82" s="55">
        <v>463645.69</v>
      </c>
      <c r="F82" s="55">
        <f t="shared" si="22"/>
        <v>13057460.689999999</v>
      </c>
      <c r="G82" s="7"/>
      <c r="H82" s="7"/>
    </row>
    <row r="83" spans="1:8" ht="58.9" customHeight="1" x14ac:dyDescent="0.2">
      <c r="A83" s="67" t="s">
        <v>141</v>
      </c>
      <c r="B83" s="67" t="s">
        <v>142</v>
      </c>
      <c r="C83" s="82" t="s">
        <v>143</v>
      </c>
      <c r="D83" s="47">
        <v>1775221</v>
      </c>
      <c r="E83" s="57">
        <f>E84</f>
        <v>872000</v>
      </c>
      <c r="F83" s="57">
        <f t="shared" ref="F83:F88" si="23">D83+E83</f>
        <v>2647221</v>
      </c>
      <c r="G83" s="7"/>
      <c r="H83" s="7"/>
    </row>
    <row r="84" spans="1:8" ht="23.25" customHeight="1" x14ac:dyDescent="0.2">
      <c r="A84" s="76"/>
      <c r="B84" s="72"/>
      <c r="C84" s="48" t="s">
        <v>6</v>
      </c>
      <c r="D84" s="70">
        <v>146160</v>
      </c>
      <c r="E84" s="70">
        <f>15000+857000</f>
        <v>872000</v>
      </c>
      <c r="F84" s="55">
        <f t="shared" si="23"/>
        <v>1018160</v>
      </c>
      <c r="G84" s="92"/>
      <c r="H84" s="92"/>
    </row>
    <row r="85" spans="1:8" ht="38.450000000000003" customHeight="1" x14ac:dyDescent="0.2">
      <c r="A85" s="67" t="s">
        <v>82</v>
      </c>
      <c r="B85" s="67" t="s">
        <v>83</v>
      </c>
      <c r="C85" s="82" t="s">
        <v>84</v>
      </c>
      <c r="D85" s="47">
        <v>196309</v>
      </c>
      <c r="E85" s="57">
        <f>E86</f>
        <v>420000</v>
      </c>
      <c r="F85" s="57">
        <f t="shared" si="23"/>
        <v>616309</v>
      </c>
      <c r="G85" s="92"/>
      <c r="H85" s="7"/>
    </row>
    <row r="86" spans="1:8" ht="23.25" customHeight="1" x14ac:dyDescent="0.2">
      <c r="A86" s="76"/>
      <c r="B86" s="72"/>
      <c r="C86" s="48" t="s">
        <v>6</v>
      </c>
      <c r="D86" s="70">
        <v>0</v>
      </c>
      <c r="E86" s="70">
        <v>420000</v>
      </c>
      <c r="F86" s="55">
        <f t="shared" si="23"/>
        <v>420000</v>
      </c>
      <c r="G86" s="7"/>
      <c r="H86" s="7"/>
    </row>
    <row r="87" spans="1:8" ht="34.15" customHeight="1" x14ac:dyDescent="0.2">
      <c r="A87" s="67" t="s">
        <v>34</v>
      </c>
      <c r="B87" s="67" t="s">
        <v>33</v>
      </c>
      <c r="C87" s="82" t="s">
        <v>32</v>
      </c>
      <c r="D87" s="47">
        <v>37164810</v>
      </c>
      <c r="E87" s="57">
        <f>E88</f>
        <v>-1147176.46</v>
      </c>
      <c r="F87" s="57">
        <f t="shared" si="23"/>
        <v>36017633.539999999</v>
      </c>
      <c r="G87" s="92"/>
      <c r="H87" s="92"/>
    </row>
    <row r="88" spans="1:8" ht="24" customHeight="1" x14ac:dyDescent="0.2">
      <c r="A88" s="76"/>
      <c r="B88" s="72"/>
      <c r="C88" s="48" t="s">
        <v>6</v>
      </c>
      <c r="D88" s="70">
        <v>37164810</v>
      </c>
      <c r="E88" s="70">
        <f>2214055.54-3361232</f>
        <v>-1147176.46</v>
      </c>
      <c r="F88" s="55">
        <f t="shared" si="23"/>
        <v>36017633.539999999</v>
      </c>
      <c r="G88" s="96"/>
      <c r="H88" s="96"/>
    </row>
    <row r="89" spans="1:8" ht="66" customHeight="1" x14ac:dyDescent="0.2">
      <c r="A89" s="67" t="s">
        <v>38</v>
      </c>
      <c r="B89" s="67">
        <v>5031</v>
      </c>
      <c r="C89" s="82" t="s">
        <v>37</v>
      </c>
      <c r="D89" s="47">
        <v>47104591</v>
      </c>
      <c r="E89" s="57">
        <f>E90</f>
        <v>3932183.88</v>
      </c>
      <c r="F89" s="45">
        <f t="shared" ref="F89" si="24">D89+E89</f>
        <v>51036774.880000003</v>
      </c>
      <c r="G89" s="92"/>
      <c r="H89" s="92"/>
    </row>
    <row r="90" spans="1:8" ht="21" customHeight="1" x14ac:dyDescent="0.2">
      <c r="A90" s="76"/>
      <c r="B90" s="72"/>
      <c r="C90" s="48" t="s">
        <v>6</v>
      </c>
      <c r="D90" s="70">
        <v>41748160</v>
      </c>
      <c r="E90" s="70">
        <f>4642183.88-710000</f>
        <v>3932183.88</v>
      </c>
      <c r="F90" s="55">
        <f>D90+E90</f>
        <v>45680343.880000003</v>
      </c>
      <c r="G90" s="96"/>
      <c r="H90" s="96"/>
    </row>
    <row r="91" spans="1:8" ht="93" customHeight="1" x14ac:dyDescent="0.2">
      <c r="A91" s="67" t="s">
        <v>35</v>
      </c>
      <c r="B91" s="67" t="s">
        <v>36</v>
      </c>
      <c r="C91" s="82" t="s">
        <v>81</v>
      </c>
      <c r="D91" s="47">
        <v>0</v>
      </c>
      <c r="E91" s="57">
        <f>E92</f>
        <v>14039761.18</v>
      </c>
      <c r="F91" s="57">
        <f>D91+E91</f>
        <v>14039761.18</v>
      </c>
      <c r="G91" s="7"/>
      <c r="H91" s="7"/>
    </row>
    <row r="92" spans="1:8" ht="24" customHeight="1" x14ac:dyDescent="0.2">
      <c r="A92" s="76"/>
      <c r="B92" s="72"/>
      <c r="C92" s="48" t="s">
        <v>6</v>
      </c>
      <c r="D92" s="70">
        <v>0</v>
      </c>
      <c r="E92" s="70">
        <f>E93+1169442</f>
        <v>14039761.18</v>
      </c>
      <c r="F92" s="55">
        <f t="shared" ref="F92:F93" si="25">D92+E92</f>
        <v>14039761.18</v>
      </c>
      <c r="G92" s="92"/>
      <c r="H92" s="92"/>
    </row>
    <row r="93" spans="1:8" ht="87.6" customHeight="1" x14ac:dyDescent="0.2">
      <c r="A93" s="56"/>
      <c r="B93" s="56"/>
      <c r="C93" s="84" t="s">
        <v>79</v>
      </c>
      <c r="D93" s="69">
        <v>0</v>
      </c>
      <c r="E93" s="55">
        <f>8404303.18+4466016</f>
        <v>12870319.18</v>
      </c>
      <c r="F93" s="55">
        <f t="shared" si="25"/>
        <v>12870319.18</v>
      </c>
      <c r="G93" s="7"/>
      <c r="H93" s="7"/>
    </row>
    <row r="94" spans="1:8" ht="160.15" customHeight="1" x14ac:dyDescent="0.2">
      <c r="A94" s="67" t="s">
        <v>86</v>
      </c>
      <c r="B94" s="67">
        <v>7691</v>
      </c>
      <c r="C94" s="93" t="s">
        <v>85</v>
      </c>
      <c r="D94" s="47">
        <v>8300000</v>
      </c>
      <c r="E94" s="57">
        <f>2341147.09</f>
        <v>2341147.09</v>
      </c>
      <c r="F94" s="57">
        <f>D94+E94</f>
        <v>10641147.09</v>
      </c>
      <c r="G94" s="7"/>
      <c r="H94" s="7"/>
    </row>
    <row r="95" spans="1:8" ht="39" customHeight="1" x14ac:dyDescent="0.2">
      <c r="A95" s="71"/>
      <c r="B95" s="71"/>
      <c r="C95" s="48" t="s">
        <v>66</v>
      </c>
      <c r="D95" s="91">
        <v>2285132</v>
      </c>
      <c r="E95" s="91">
        <f>2340363.61</f>
        <v>2340363.61</v>
      </c>
      <c r="F95" s="91">
        <f>D95+E95</f>
        <v>4625495.6099999994</v>
      </c>
      <c r="G95" s="7"/>
      <c r="H95" s="7"/>
    </row>
    <row r="96" spans="1:8" ht="41.25" customHeight="1" x14ac:dyDescent="0.2">
      <c r="A96" s="75" t="s">
        <v>39</v>
      </c>
      <c r="B96" s="49"/>
      <c r="C96" s="49" t="s">
        <v>15</v>
      </c>
      <c r="D96" s="30">
        <f>D97</f>
        <v>91307646</v>
      </c>
      <c r="E96" s="30">
        <f>E97</f>
        <v>3882945</v>
      </c>
      <c r="F96" s="30">
        <f t="shared" si="22"/>
        <v>95190591</v>
      </c>
      <c r="G96" s="7"/>
      <c r="H96" s="7"/>
    </row>
    <row r="97" spans="1:8" ht="36.75" customHeight="1" x14ac:dyDescent="0.2">
      <c r="A97" s="75" t="s">
        <v>40</v>
      </c>
      <c r="B97" s="49"/>
      <c r="C97" s="49" t="s">
        <v>15</v>
      </c>
      <c r="D97" s="30">
        <v>91307646</v>
      </c>
      <c r="E97" s="30">
        <f>E99+E101+E103</f>
        <v>3882945</v>
      </c>
      <c r="F97" s="30">
        <f t="shared" si="22"/>
        <v>95190591</v>
      </c>
      <c r="G97" s="7"/>
      <c r="H97" s="7"/>
    </row>
    <row r="98" spans="1:8" ht="23.25" customHeight="1" x14ac:dyDescent="0.2">
      <c r="A98" s="78"/>
      <c r="B98" s="68"/>
      <c r="C98" s="68" t="s">
        <v>6</v>
      </c>
      <c r="D98" s="46">
        <v>58737392</v>
      </c>
      <c r="E98" s="46">
        <f>E100+E102+E104</f>
        <v>3882945</v>
      </c>
      <c r="F98" s="46">
        <f t="shared" si="22"/>
        <v>62620337</v>
      </c>
      <c r="G98" s="7"/>
      <c r="H98" s="7"/>
    </row>
    <row r="99" spans="1:8" ht="73.150000000000006" customHeight="1" x14ac:dyDescent="0.2">
      <c r="A99" s="67" t="s">
        <v>42</v>
      </c>
      <c r="B99" s="67">
        <v>2111</v>
      </c>
      <c r="C99" s="83" t="s">
        <v>98</v>
      </c>
      <c r="D99" s="45">
        <v>8850450</v>
      </c>
      <c r="E99" s="45">
        <f>E100</f>
        <v>1383945</v>
      </c>
      <c r="F99" s="45">
        <f t="shared" si="22"/>
        <v>10234395</v>
      </c>
      <c r="G99" s="92"/>
      <c r="H99" s="7"/>
    </row>
    <row r="100" spans="1:8" ht="23.25" customHeight="1" x14ac:dyDescent="0.2">
      <c r="A100" s="56"/>
      <c r="B100" s="56"/>
      <c r="C100" s="48" t="s">
        <v>6</v>
      </c>
      <c r="D100" s="69">
        <v>8850450</v>
      </c>
      <c r="E100" s="55">
        <f>1383945</f>
        <v>1383945</v>
      </c>
      <c r="F100" s="55">
        <f t="shared" si="22"/>
        <v>10234395</v>
      </c>
      <c r="G100" s="7"/>
      <c r="H100" s="7"/>
    </row>
    <row r="101" spans="1:8" ht="41.45" customHeight="1" x14ac:dyDescent="0.2">
      <c r="A101" s="67" t="s">
        <v>149</v>
      </c>
      <c r="B101" s="67" t="s">
        <v>150</v>
      </c>
      <c r="C101" s="83" t="s">
        <v>151</v>
      </c>
      <c r="D101" s="45">
        <f>D102</f>
        <v>13000000</v>
      </c>
      <c r="E101" s="45">
        <f>E102</f>
        <v>199000</v>
      </c>
      <c r="F101" s="45">
        <f t="shared" si="22"/>
        <v>13199000</v>
      </c>
      <c r="G101" s="92"/>
      <c r="H101" s="7"/>
    </row>
    <row r="102" spans="1:8" ht="23.25" customHeight="1" x14ac:dyDescent="0.2">
      <c r="A102" s="56"/>
      <c r="B102" s="56"/>
      <c r="C102" s="48" t="s">
        <v>6</v>
      </c>
      <c r="D102" s="69">
        <v>13000000</v>
      </c>
      <c r="E102" s="55">
        <f>199000</f>
        <v>199000</v>
      </c>
      <c r="F102" s="55">
        <f t="shared" si="22"/>
        <v>13199000</v>
      </c>
      <c r="G102" s="7"/>
      <c r="H102" s="7"/>
    </row>
    <row r="103" spans="1:8" ht="38.450000000000003" customHeight="1" x14ac:dyDescent="0.2">
      <c r="A103" s="67" t="s">
        <v>113</v>
      </c>
      <c r="B103" s="67" t="s">
        <v>52</v>
      </c>
      <c r="C103" s="83" t="s">
        <v>53</v>
      </c>
      <c r="D103" s="45">
        <v>2386942</v>
      </c>
      <c r="E103" s="45">
        <f>E104</f>
        <v>2300000</v>
      </c>
      <c r="F103" s="45">
        <f t="shared" ref="F103:F109" si="26">D103+E103</f>
        <v>4686942</v>
      </c>
      <c r="G103" s="92"/>
      <c r="H103" s="7"/>
    </row>
    <row r="104" spans="1:8" ht="23.25" customHeight="1" x14ac:dyDescent="0.2">
      <c r="A104" s="56"/>
      <c r="B104" s="56"/>
      <c r="C104" s="48" t="s">
        <v>6</v>
      </c>
      <c r="D104" s="69">
        <v>2386942</v>
      </c>
      <c r="E104" s="55">
        <f>2300000</f>
        <v>2300000</v>
      </c>
      <c r="F104" s="55">
        <f t="shared" si="26"/>
        <v>4686942</v>
      </c>
      <c r="G104" s="7"/>
      <c r="H104" s="7"/>
    </row>
    <row r="105" spans="1:8" ht="47.45" customHeight="1" x14ac:dyDescent="0.2">
      <c r="A105" s="75" t="s">
        <v>93</v>
      </c>
      <c r="B105" s="49"/>
      <c r="C105" s="49" t="s">
        <v>95</v>
      </c>
      <c r="D105" s="30">
        <f>D106</f>
        <v>3850941</v>
      </c>
      <c r="E105" s="30">
        <f>E106</f>
        <v>200000</v>
      </c>
      <c r="F105" s="30">
        <f t="shared" si="26"/>
        <v>4050941</v>
      </c>
      <c r="G105" s="7"/>
      <c r="H105" s="7"/>
    </row>
    <row r="106" spans="1:8" ht="45.6" customHeight="1" x14ac:dyDescent="0.2">
      <c r="A106" s="75" t="s">
        <v>94</v>
      </c>
      <c r="B106" s="49"/>
      <c r="C106" s="49" t="s">
        <v>95</v>
      </c>
      <c r="D106" s="30">
        <v>3850941</v>
      </c>
      <c r="E106" s="30">
        <f>E108</f>
        <v>200000</v>
      </c>
      <c r="F106" s="30">
        <f t="shared" si="26"/>
        <v>4050941</v>
      </c>
      <c r="G106" s="7"/>
      <c r="H106" s="7"/>
    </row>
    <row r="107" spans="1:8" ht="23.25" customHeight="1" x14ac:dyDescent="0.2">
      <c r="A107" s="78"/>
      <c r="B107" s="68"/>
      <c r="C107" s="68" t="s">
        <v>6</v>
      </c>
      <c r="D107" s="46">
        <v>234460</v>
      </c>
      <c r="E107" s="46">
        <f>E109</f>
        <v>200000</v>
      </c>
      <c r="F107" s="46">
        <f t="shared" si="26"/>
        <v>434460</v>
      </c>
      <c r="G107" s="7"/>
      <c r="H107" s="7"/>
    </row>
    <row r="108" spans="1:8" ht="46.9" customHeight="1" x14ac:dyDescent="0.2">
      <c r="A108" s="67" t="s">
        <v>173</v>
      </c>
      <c r="B108" s="67" t="s">
        <v>171</v>
      </c>
      <c r="C108" s="83" t="s">
        <v>169</v>
      </c>
      <c r="D108" s="45">
        <v>0</v>
      </c>
      <c r="E108" s="45">
        <f>E109</f>
        <v>200000</v>
      </c>
      <c r="F108" s="45">
        <f t="shared" si="26"/>
        <v>200000</v>
      </c>
      <c r="G108" s="7"/>
      <c r="H108" s="7"/>
    </row>
    <row r="109" spans="1:8" ht="23.25" customHeight="1" x14ac:dyDescent="0.2">
      <c r="A109" s="56"/>
      <c r="B109" s="56"/>
      <c r="C109" s="48" t="s">
        <v>6</v>
      </c>
      <c r="D109" s="69">
        <v>0</v>
      </c>
      <c r="E109" s="55">
        <f>200000</f>
        <v>200000</v>
      </c>
      <c r="F109" s="55">
        <f t="shared" si="26"/>
        <v>200000</v>
      </c>
      <c r="G109" s="7"/>
      <c r="H109" s="7"/>
    </row>
    <row r="110" spans="1:8" ht="43.15" customHeight="1" x14ac:dyDescent="0.2">
      <c r="A110" s="77">
        <v>1000000</v>
      </c>
      <c r="B110" s="49"/>
      <c r="C110" s="49" t="s">
        <v>19</v>
      </c>
      <c r="D110" s="30">
        <f>D111</f>
        <v>29852451</v>
      </c>
      <c r="E110" s="30">
        <f>E111</f>
        <v>2590837.27</v>
      </c>
      <c r="F110" s="30">
        <f t="shared" ref="F110:F117" si="27">D110+E110</f>
        <v>32443288.27</v>
      </c>
      <c r="G110" s="7"/>
      <c r="H110" s="7"/>
    </row>
    <row r="111" spans="1:8" ht="38.450000000000003" customHeight="1" x14ac:dyDescent="0.2">
      <c r="A111" s="77">
        <v>1010000</v>
      </c>
      <c r="B111" s="49"/>
      <c r="C111" s="49" t="s">
        <v>19</v>
      </c>
      <c r="D111" s="30">
        <v>29852451</v>
      </c>
      <c r="E111" s="30">
        <f>E113+E115+E118</f>
        <v>2590837.27</v>
      </c>
      <c r="F111" s="30">
        <f t="shared" si="27"/>
        <v>32443288.27</v>
      </c>
      <c r="G111" s="7"/>
      <c r="H111" s="7"/>
    </row>
    <row r="112" spans="1:8" ht="23.25" customHeight="1" x14ac:dyDescent="0.2">
      <c r="A112" s="78"/>
      <c r="B112" s="68"/>
      <c r="C112" s="68" t="s">
        <v>6</v>
      </c>
      <c r="D112" s="46">
        <v>17966076</v>
      </c>
      <c r="E112" s="46">
        <f>E114+E116</f>
        <v>1452000</v>
      </c>
      <c r="F112" s="46">
        <f t="shared" si="27"/>
        <v>19418076</v>
      </c>
      <c r="G112" s="7"/>
      <c r="H112" s="7"/>
    </row>
    <row r="113" spans="1:8" ht="60.6" customHeight="1" x14ac:dyDescent="0.2">
      <c r="A113" s="67">
        <v>1014060</v>
      </c>
      <c r="B113" s="67">
        <v>4060</v>
      </c>
      <c r="C113" s="83" t="s">
        <v>44</v>
      </c>
      <c r="D113" s="57">
        <v>16688162</v>
      </c>
      <c r="E113" s="57">
        <f>E114</f>
        <v>1040000</v>
      </c>
      <c r="F113" s="45">
        <f t="shared" si="27"/>
        <v>17728162</v>
      </c>
      <c r="G113" s="54"/>
      <c r="H113" s="7"/>
    </row>
    <row r="114" spans="1:8" ht="23.25" customHeight="1" x14ac:dyDescent="0.2">
      <c r="A114" s="56"/>
      <c r="B114" s="56"/>
      <c r="C114" s="48" t="s">
        <v>6</v>
      </c>
      <c r="D114" s="69">
        <v>13419900</v>
      </c>
      <c r="E114" s="55">
        <v>1040000</v>
      </c>
      <c r="F114" s="55">
        <f t="shared" si="27"/>
        <v>14459900</v>
      </c>
      <c r="G114" s="7"/>
      <c r="H114" s="7"/>
    </row>
    <row r="115" spans="1:8" ht="83.45" customHeight="1" x14ac:dyDescent="0.2">
      <c r="A115" s="67" t="s">
        <v>87</v>
      </c>
      <c r="B115" s="67" t="s">
        <v>36</v>
      </c>
      <c r="C115" s="83" t="s">
        <v>148</v>
      </c>
      <c r="D115" s="57">
        <v>0</v>
      </c>
      <c r="E115" s="57">
        <f>E116</f>
        <v>412000</v>
      </c>
      <c r="F115" s="45">
        <f t="shared" si="27"/>
        <v>412000</v>
      </c>
      <c r="G115" s="92"/>
      <c r="H115" s="7"/>
    </row>
    <row r="116" spans="1:8" ht="23.25" customHeight="1" x14ac:dyDescent="0.2">
      <c r="A116" s="76"/>
      <c r="B116" s="72"/>
      <c r="C116" s="48" t="s">
        <v>6</v>
      </c>
      <c r="D116" s="69">
        <v>0</v>
      </c>
      <c r="E116" s="55">
        <f>E117+12000</f>
        <v>412000</v>
      </c>
      <c r="F116" s="55">
        <f t="shared" si="27"/>
        <v>412000</v>
      </c>
      <c r="G116" s="92"/>
      <c r="H116" s="92"/>
    </row>
    <row r="117" spans="1:8" ht="91.15" customHeight="1" x14ac:dyDescent="0.2">
      <c r="A117" s="56"/>
      <c r="B117" s="56"/>
      <c r="C117" s="48" t="s">
        <v>79</v>
      </c>
      <c r="D117" s="70">
        <v>0</v>
      </c>
      <c r="E117" s="70">
        <f>400000</f>
        <v>400000</v>
      </c>
      <c r="F117" s="55">
        <f t="shared" si="27"/>
        <v>400000</v>
      </c>
      <c r="G117" s="7"/>
      <c r="H117" s="7"/>
    </row>
    <row r="118" spans="1:8" ht="162" customHeight="1" x14ac:dyDescent="0.2">
      <c r="A118" s="67" t="s">
        <v>88</v>
      </c>
      <c r="B118" s="67">
        <v>7691</v>
      </c>
      <c r="C118" s="93" t="s">
        <v>85</v>
      </c>
      <c r="D118" s="47">
        <v>0</v>
      </c>
      <c r="E118" s="57">
        <f>E119+E120</f>
        <v>1138837.27</v>
      </c>
      <c r="F118" s="57">
        <f>D118+E118</f>
        <v>1138837.27</v>
      </c>
      <c r="G118" s="7"/>
      <c r="H118" s="7"/>
    </row>
    <row r="119" spans="1:8" ht="22.9" customHeight="1" x14ac:dyDescent="0.2">
      <c r="A119" s="67"/>
      <c r="B119" s="67"/>
      <c r="C119" s="48" t="s">
        <v>111</v>
      </c>
      <c r="D119" s="69">
        <v>0</v>
      </c>
      <c r="E119" s="55">
        <v>938997.27</v>
      </c>
      <c r="F119" s="55">
        <f t="shared" ref="F119" si="28">D119+E119</f>
        <v>938997.27</v>
      </c>
      <c r="G119" s="7"/>
      <c r="H119" s="7"/>
    </row>
    <row r="120" spans="1:8" ht="22.9" customHeight="1" x14ac:dyDescent="0.2">
      <c r="A120" s="71"/>
      <c r="B120" s="71"/>
      <c r="C120" s="48" t="s">
        <v>110</v>
      </c>
      <c r="D120" s="91">
        <v>0</v>
      </c>
      <c r="E120" s="91">
        <v>199840</v>
      </c>
      <c r="F120" s="91">
        <f>D120+E120</f>
        <v>199840</v>
      </c>
      <c r="G120" s="7"/>
      <c r="H120" s="7"/>
    </row>
    <row r="121" spans="1:8" ht="56.25" customHeight="1" x14ac:dyDescent="0.2">
      <c r="A121" s="77">
        <v>1200000</v>
      </c>
      <c r="B121" s="49"/>
      <c r="C121" s="49" t="s">
        <v>102</v>
      </c>
      <c r="D121" s="30">
        <f>D122</f>
        <v>317383517</v>
      </c>
      <c r="E121" s="30">
        <f>E122</f>
        <v>16509275</v>
      </c>
      <c r="F121" s="30">
        <f t="shared" ref="F121:F122" si="29">D121+E121</f>
        <v>333892792</v>
      </c>
      <c r="G121" s="7"/>
      <c r="H121" s="7"/>
    </row>
    <row r="122" spans="1:8" ht="56.25" customHeight="1" x14ac:dyDescent="0.2">
      <c r="A122" s="77">
        <v>1210000</v>
      </c>
      <c r="B122" s="49"/>
      <c r="C122" s="49" t="s">
        <v>102</v>
      </c>
      <c r="D122" s="30">
        <v>317383517</v>
      </c>
      <c r="E122" s="30">
        <f>E124+E126+E128+E130+E132+E134</f>
        <v>16509275</v>
      </c>
      <c r="F122" s="30">
        <f t="shared" si="29"/>
        <v>333892792</v>
      </c>
      <c r="G122" s="7"/>
      <c r="H122" s="7"/>
    </row>
    <row r="123" spans="1:8" ht="23.25" customHeight="1" x14ac:dyDescent="0.2">
      <c r="A123" s="78"/>
      <c r="B123" s="68"/>
      <c r="C123" s="68" t="s">
        <v>6</v>
      </c>
      <c r="D123" s="46">
        <v>262657317</v>
      </c>
      <c r="E123" s="46">
        <f>E125+E127+E129</f>
        <v>9269806</v>
      </c>
      <c r="F123" s="46">
        <f t="shared" ref="F123:F127" si="30">D123+E123</f>
        <v>271927123</v>
      </c>
      <c r="G123" s="7"/>
      <c r="H123" s="7"/>
    </row>
    <row r="124" spans="1:8" ht="41.45" customHeight="1" x14ac:dyDescent="0.2">
      <c r="A124" s="67" t="s">
        <v>166</v>
      </c>
      <c r="B124" s="67" t="s">
        <v>167</v>
      </c>
      <c r="C124" s="83" t="s">
        <v>168</v>
      </c>
      <c r="D124" s="47">
        <v>21986300</v>
      </c>
      <c r="E124" s="45">
        <f>E125</f>
        <v>6937000</v>
      </c>
      <c r="F124" s="45">
        <f t="shared" ref="F124:F125" si="31">D124+E124</f>
        <v>28923300</v>
      </c>
      <c r="G124" s="92"/>
      <c r="H124" s="7"/>
    </row>
    <row r="125" spans="1:8" ht="23.25" customHeight="1" x14ac:dyDescent="0.2">
      <c r="A125" s="56"/>
      <c r="B125" s="56"/>
      <c r="C125" s="48" t="s">
        <v>6</v>
      </c>
      <c r="D125" s="69">
        <v>21936300</v>
      </c>
      <c r="E125" s="55">
        <f>6937000</f>
        <v>6937000</v>
      </c>
      <c r="F125" s="55">
        <f t="shared" si="31"/>
        <v>28873300</v>
      </c>
      <c r="G125" s="7"/>
      <c r="H125" s="7"/>
    </row>
    <row r="126" spans="1:8" ht="38.450000000000003" customHeight="1" x14ac:dyDescent="0.2">
      <c r="A126" s="67">
        <v>1216030</v>
      </c>
      <c r="B126" s="67">
        <v>6030</v>
      </c>
      <c r="C126" s="83" t="s">
        <v>47</v>
      </c>
      <c r="D126" s="47">
        <v>71977236</v>
      </c>
      <c r="E126" s="45">
        <f>E127</f>
        <v>2012893</v>
      </c>
      <c r="F126" s="45">
        <f t="shared" si="30"/>
        <v>73990129</v>
      </c>
      <c r="G126" s="92"/>
      <c r="H126" s="7"/>
    </row>
    <row r="127" spans="1:8" ht="23.25" customHeight="1" x14ac:dyDescent="0.2">
      <c r="A127" s="56"/>
      <c r="B127" s="56"/>
      <c r="C127" s="48" t="s">
        <v>6</v>
      </c>
      <c r="D127" s="69">
        <v>71977236</v>
      </c>
      <c r="E127" s="55">
        <f>2012893</f>
        <v>2012893</v>
      </c>
      <c r="F127" s="55">
        <f t="shared" si="30"/>
        <v>73990129</v>
      </c>
      <c r="G127" s="7"/>
      <c r="H127" s="7"/>
    </row>
    <row r="128" spans="1:8" ht="45" customHeight="1" x14ac:dyDescent="0.2">
      <c r="A128" s="67" t="s">
        <v>147</v>
      </c>
      <c r="B128" s="67" t="s">
        <v>48</v>
      </c>
      <c r="C128" s="83" t="s">
        <v>49</v>
      </c>
      <c r="D128" s="47">
        <f>D129</f>
        <v>4535255</v>
      </c>
      <c r="E128" s="45">
        <f>E129</f>
        <v>319913</v>
      </c>
      <c r="F128" s="45">
        <f t="shared" ref="F128:F131" si="32">D128+E128</f>
        <v>4855168</v>
      </c>
      <c r="G128" s="92"/>
      <c r="H128" s="7"/>
    </row>
    <row r="129" spans="1:8" ht="23.25" customHeight="1" x14ac:dyDescent="0.2">
      <c r="A129" s="56"/>
      <c r="B129" s="56"/>
      <c r="C129" s="48" t="s">
        <v>6</v>
      </c>
      <c r="D129" s="69">
        <v>4535255</v>
      </c>
      <c r="E129" s="55">
        <f>219913+100000</f>
        <v>319913</v>
      </c>
      <c r="F129" s="55">
        <f t="shared" si="32"/>
        <v>4855168</v>
      </c>
      <c r="G129" s="7"/>
      <c r="H129" s="7"/>
    </row>
    <row r="130" spans="1:8" ht="61.15" customHeight="1" x14ac:dyDescent="0.2">
      <c r="A130" s="67" t="s">
        <v>163</v>
      </c>
      <c r="B130" s="99">
        <v>7461</v>
      </c>
      <c r="C130" s="100" t="s">
        <v>165</v>
      </c>
      <c r="D130" s="47">
        <v>49500000</v>
      </c>
      <c r="E130" s="57">
        <f>E131</f>
        <v>76469</v>
      </c>
      <c r="F130" s="45">
        <f t="shared" si="32"/>
        <v>49576469</v>
      </c>
      <c r="G130" s="7"/>
      <c r="H130" s="7"/>
    </row>
    <row r="131" spans="1:8" ht="23.25" customHeight="1" x14ac:dyDescent="0.2">
      <c r="A131" s="56"/>
      <c r="B131" s="56"/>
      <c r="C131" s="48" t="s">
        <v>18</v>
      </c>
      <c r="D131" s="69">
        <v>0</v>
      </c>
      <c r="E131" s="70">
        <f>76469</f>
        <v>76469</v>
      </c>
      <c r="F131" s="70">
        <f t="shared" si="32"/>
        <v>76469</v>
      </c>
      <c r="G131" s="7"/>
      <c r="H131" s="7"/>
    </row>
    <row r="132" spans="1:8" ht="161.44999999999999" customHeight="1" x14ac:dyDescent="0.2">
      <c r="A132" s="67" t="s">
        <v>172</v>
      </c>
      <c r="B132" s="67">
        <v>7691</v>
      </c>
      <c r="C132" s="93" t="s">
        <v>85</v>
      </c>
      <c r="D132" s="47">
        <f>D133</f>
        <v>3528000</v>
      </c>
      <c r="E132" s="57">
        <f>E133</f>
        <v>63000</v>
      </c>
      <c r="F132" s="57">
        <f>D132+E132</f>
        <v>3591000</v>
      </c>
      <c r="G132" s="7"/>
      <c r="H132" s="7"/>
    </row>
    <row r="133" spans="1:8" ht="23.25" customHeight="1" x14ac:dyDescent="0.2">
      <c r="A133" s="67"/>
      <c r="B133" s="67"/>
      <c r="C133" s="48" t="s">
        <v>14</v>
      </c>
      <c r="D133" s="69">
        <v>3528000</v>
      </c>
      <c r="E133" s="55">
        <f>63000</f>
        <v>63000</v>
      </c>
      <c r="F133" s="55">
        <f t="shared" ref="F133" si="33">D133+E133</f>
        <v>3591000</v>
      </c>
      <c r="G133" s="7"/>
      <c r="H133" s="7"/>
    </row>
    <row r="134" spans="1:8" ht="36.6" customHeight="1" x14ac:dyDescent="0.2">
      <c r="A134" s="67" t="s">
        <v>59</v>
      </c>
      <c r="B134" s="67" t="s">
        <v>57</v>
      </c>
      <c r="C134" s="83" t="s">
        <v>58</v>
      </c>
      <c r="D134" s="47">
        <v>50648200</v>
      </c>
      <c r="E134" s="45">
        <f>E135</f>
        <v>7100000</v>
      </c>
      <c r="F134" s="45">
        <f t="shared" ref="F134:F135" si="34">D134+E134</f>
        <v>57748200</v>
      </c>
      <c r="G134" s="7"/>
      <c r="H134" s="7"/>
    </row>
    <row r="135" spans="1:8" ht="23.25" customHeight="1" x14ac:dyDescent="0.2">
      <c r="A135" s="56"/>
      <c r="B135" s="56"/>
      <c r="C135" s="48" t="s">
        <v>14</v>
      </c>
      <c r="D135" s="69">
        <v>19090000</v>
      </c>
      <c r="E135" s="55">
        <v>7100000</v>
      </c>
      <c r="F135" s="55">
        <f t="shared" si="34"/>
        <v>26190000</v>
      </c>
      <c r="G135" s="7"/>
      <c r="H135" s="7"/>
    </row>
    <row r="136" spans="1:8" ht="57" customHeight="1" x14ac:dyDescent="0.2">
      <c r="A136" s="77">
        <v>1500000</v>
      </c>
      <c r="B136" s="49"/>
      <c r="C136" s="49" t="s">
        <v>11</v>
      </c>
      <c r="D136" s="30">
        <f>D137</f>
        <v>103874638</v>
      </c>
      <c r="E136" s="30">
        <f>E137</f>
        <v>22046145</v>
      </c>
      <c r="F136" s="30">
        <f t="shared" ref="F136:F157" si="35">D136+E136</f>
        <v>125920783</v>
      </c>
      <c r="G136" s="7"/>
      <c r="H136" s="7"/>
    </row>
    <row r="137" spans="1:8" ht="54.6" customHeight="1" x14ac:dyDescent="0.2">
      <c r="A137" s="77">
        <v>1510000</v>
      </c>
      <c r="B137" s="49"/>
      <c r="C137" s="49" t="s">
        <v>11</v>
      </c>
      <c r="D137" s="30">
        <v>103874638</v>
      </c>
      <c r="E137" s="30">
        <f>E139+E141+E143+E145+E147+E149+E152+E154</f>
        <v>22046145</v>
      </c>
      <c r="F137" s="30">
        <f t="shared" si="35"/>
        <v>125920783</v>
      </c>
      <c r="G137" s="7"/>
      <c r="H137" s="7"/>
    </row>
    <row r="138" spans="1:8" ht="24.75" customHeight="1" x14ac:dyDescent="0.2">
      <c r="A138" s="78"/>
      <c r="B138" s="68"/>
      <c r="C138" s="68" t="s">
        <v>6</v>
      </c>
      <c r="D138" s="46">
        <v>96874638</v>
      </c>
      <c r="E138" s="46">
        <f>E140+E142+E144+E146+E148+E150+E153</f>
        <v>21546145</v>
      </c>
      <c r="F138" s="46">
        <f t="shared" si="35"/>
        <v>118420783</v>
      </c>
      <c r="G138" s="7"/>
      <c r="H138" s="7"/>
    </row>
    <row r="139" spans="1:8" ht="46.15" customHeight="1" x14ac:dyDescent="0.2">
      <c r="A139" s="67" t="s">
        <v>115</v>
      </c>
      <c r="B139" s="67" t="s">
        <v>17</v>
      </c>
      <c r="C139" s="83" t="s">
        <v>16</v>
      </c>
      <c r="D139" s="45">
        <f>D140</f>
        <v>5000000</v>
      </c>
      <c r="E139" s="45">
        <f>E140</f>
        <v>-5000000</v>
      </c>
      <c r="F139" s="45">
        <f t="shared" si="35"/>
        <v>0</v>
      </c>
      <c r="G139" s="7"/>
      <c r="H139" s="7"/>
    </row>
    <row r="140" spans="1:8" ht="24.75" customHeight="1" x14ac:dyDescent="0.2">
      <c r="A140" s="56"/>
      <c r="B140" s="56"/>
      <c r="C140" s="48" t="s">
        <v>6</v>
      </c>
      <c r="D140" s="69">
        <v>5000000</v>
      </c>
      <c r="E140" s="55">
        <v>-5000000</v>
      </c>
      <c r="F140" s="55">
        <f t="shared" si="35"/>
        <v>0</v>
      </c>
      <c r="G140" s="7"/>
      <c r="H140" s="7"/>
    </row>
    <row r="141" spans="1:8" ht="33.75" customHeight="1" x14ac:dyDescent="0.2">
      <c r="A141" s="67" t="s">
        <v>116</v>
      </c>
      <c r="B141" s="67" t="s">
        <v>48</v>
      </c>
      <c r="C141" s="83" t="s">
        <v>49</v>
      </c>
      <c r="D141" s="47">
        <v>30378000</v>
      </c>
      <c r="E141" s="45">
        <f>E142</f>
        <v>3600000</v>
      </c>
      <c r="F141" s="45">
        <f t="shared" ref="F141:F142" si="36">D141+E141</f>
        <v>33978000</v>
      </c>
      <c r="G141" s="54"/>
      <c r="H141" s="7"/>
    </row>
    <row r="142" spans="1:8" ht="24" customHeight="1" x14ac:dyDescent="0.2">
      <c r="A142" s="56"/>
      <c r="B142" s="56"/>
      <c r="C142" s="48" t="s">
        <v>6</v>
      </c>
      <c r="D142" s="69">
        <v>30378000</v>
      </c>
      <c r="E142" s="55">
        <v>3600000</v>
      </c>
      <c r="F142" s="55">
        <f t="shared" si="36"/>
        <v>33978000</v>
      </c>
      <c r="G142" s="7"/>
      <c r="H142" s="7"/>
    </row>
    <row r="143" spans="1:8" ht="37.15" customHeight="1" x14ac:dyDescent="0.2">
      <c r="A143" s="67" t="s">
        <v>117</v>
      </c>
      <c r="B143" s="67" t="s">
        <v>51</v>
      </c>
      <c r="C143" s="83" t="s">
        <v>50</v>
      </c>
      <c r="D143" s="47">
        <v>20117800</v>
      </c>
      <c r="E143" s="45">
        <f>E144</f>
        <v>3300000</v>
      </c>
      <c r="F143" s="45">
        <f t="shared" si="35"/>
        <v>23417800</v>
      </c>
      <c r="G143" s="54"/>
      <c r="H143" s="7"/>
    </row>
    <row r="144" spans="1:8" ht="22.15" customHeight="1" x14ac:dyDescent="0.2">
      <c r="A144" s="56"/>
      <c r="B144" s="56"/>
      <c r="C144" s="48" t="s">
        <v>6</v>
      </c>
      <c r="D144" s="69">
        <v>20117800</v>
      </c>
      <c r="E144" s="55">
        <v>3300000</v>
      </c>
      <c r="F144" s="55">
        <f t="shared" si="35"/>
        <v>23417800</v>
      </c>
      <c r="G144" s="7"/>
      <c r="H144" s="7"/>
    </row>
    <row r="145" spans="1:8" ht="36" customHeight="1" x14ac:dyDescent="0.2">
      <c r="A145" s="67" t="s">
        <v>118</v>
      </c>
      <c r="B145" s="67" t="s">
        <v>52</v>
      </c>
      <c r="C145" s="83" t="s">
        <v>53</v>
      </c>
      <c r="D145" s="47">
        <f>D146</f>
        <v>21291700</v>
      </c>
      <c r="E145" s="45">
        <f>E146</f>
        <v>7640000</v>
      </c>
      <c r="F145" s="45">
        <f t="shared" ref="F145:F146" si="37">D145+E145</f>
        <v>28931700</v>
      </c>
      <c r="G145" s="54"/>
      <c r="H145" s="7"/>
    </row>
    <row r="146" spans="1:8" ht="26.45" customHeight="1" x14ac:dyDescent="0.2">
      <c r="A146" s="56"/>
      <c r="B146" s="56"/>
      <c r="C146" s="48" t="s">
        <v>6</v>
      </c>
      <c r="D146" s="69">
        <v>21291700</v>
      </c>
      <c r="E146" s="55">
        <f>7140000+500000</f>
        <v>7640000</v>
      </c>
      <c r="F146" s="55">
        <f t="shared" si="37"/>
        <v>28931700</v>
      </c>
      <c r="G146" s="7"/>
      <c r="H146" s="7"/>
    </row>
    <row r="147" spans="1:8" ht="36.75" customHeight="1" x14ac:dyDescent="0.2">
      <c r="A147" s="67" t="s">
        <v>119</v>
      </c>
      <c r="B147" s="67" t="s">
        <v>55</v>
      </c>
      <c r="C147" s="83" t="s">
        <v>54</v>
      </c>
      <c r="D147" s="47">
        <f>D148</f>
        <v>1100000</v>
      </c>
      <c r="E147" s="45">
        <f>E148</f>
        <v>350000</v>
      </c>
      <c r="F147" s="45">
        <f t="shared" ref="F147:F148" si="38">D147+E147</f>
        <v>1450000</v>
      </c>
      <c r="G147" s="54"/>
      <c r="H147" s="7"/>
    </row>
    <row r="148" spans="1:8" ht="25.9" customHeight="1" x14ac:dyDescent="0.2">
      <c r="A148" s="56"/>
      <c r="B148" s="56"/>
      <c r="C148" s="48" t="s">
        <v>6</v>
      </c>
      <c r="D148" s="69">
        <v>1100000</v>
      </c>
      <c r="E148" s="55">
        <v>350000</v>
      </c>
      <c r="F148" s="55">
        <f t="shared" si="38"/>
        <v>1450000</v>
      </c>
      <c r="G148" s="7"/>
      <c r="H148" s="7"/>
    </row>
    <row r="149" spans="1:8" ht="81.599999999999994" customHeight="1" x14ac:dyDescent="0.2">
      <c r="A149" s="67" t="s">
        <v>120</v>
      </c>
      <c r="B149" s="67" t="s">
        <v>36</v>
      </c>
      <c r="C149" s="83" t="s">
        <v>148</v>
      </c>
      <c r="D149" s="47">
        <v>0</v>
      </c>
      <c r="E149" s="45">
        <f>E150</f>
        <v>244550</v>
      </c>
      <c r="F149" s="45">
        <f t="shared" ref="F149" si="39">D149+E149</f>
        <v>244550</v>
      </c>
      <c r="G149" s="7"/>
      <c r="H149" s="7"/>
    </row>
    <row r="150" spans="1:8" ht="23.45" customHeight="1" x14ac:dyDescent="0.2">
      <c r="A150" s="56"/>
      <c r="B150" s="56"/>
      <c r="C150" s="48" t="s">
        <v>6</v>
      </c>
      <c r="D150" s="69">
        <v>0</v>
      </c>
      <c r="E150" s="55">
        <f>E151</f>
        <v>244550</v>
      </c>
      <c r="F150" s="55">
        <f t="shared" ref="F150:F153" si="40">D150+E150</f>
        <v>244550</v>
      </c>
      <c r="G150" s="7"/>
      <c r="H150" s="7"/>
    </row>
    <row r="151" spans="1:8" ht="89.45" customHeight="1" x14ac:dyDescent="0.2">
      <c r="A151" s="56"/>
      <c r="B151" s="56"/>
      <c r="C151" s="48" t="s">
        <v>79</v>
      </c>
      <c r="D151" s="70">
        <v>0</v>
      </c>
      <c r="E151" s="70">
        <f>244550</f>
        <v>244550</v>
      </c>
      <c r="F151" s="55">
        <f t="shared" si="40"/>
        <v>244550</v>
      </c>
      <c r="G151" s="7"/>
      <c r="H151" s="7"/>
    </row>
    <row r="152" spans="1:8" ht="58.9" customHeight="1" x14ac:dyDescent="0.2">
      <c r="A152" s="67" t="s">
        <v>122</v>
      </c>
      <c r="B152" s="67" t="s">
        <v>112</v>
      </c>
      <c r="C152" s="83" t="s">
        <v>114</v>
      </c>
      <c r="D152" s="45">
        <f>D153</f>
        <v>0</v>
      </c>
      <c r="E152" s="45">
        <f>E153</f>
        <v>11411595</v>
      </c>
      <c r="F152" s="45">
        <f t="shared" si="40"/>
        <v>11411595</v>
      </c>
      <c r="G152" s="7"/>
      <c r="H152" s="7"/>
    </row>
    <row r="153" spans="1:8" ht="22.9" customHeight="1" x14ac:dyDescent="0.2">
      <c r="A153" s="56"/>
      <c r="B153" s="56"/>
      <c r="C153" s="48" t="s">
        <v>6</v>
      </c>
      <c r="D153" s="69">
        <v>0</v>
      </c>
      <c r="E153" s="55">
        <f>2340363+3361232+710000+5000000</f>
        <v>11411595</v>
      </c>
      <c r="F153" s="55">
        <f t="shared" si="40"/>
        <v>11411595</v>
      </c>
      <c r="G153" s="7"/>
      <c r="H153" s="7"/>
    </row>
    <row r="154" spans="1:8" ht="39" customHeight="1" x14ac:dyDescent="0.2">
      <c r="A154" s="67" t="s">
        <v>121</v>
      </c>
      <c r="B154" s="67" t="s">
        <v>57</v>
      </c>
      <c r="C154" s="83" t="s">
        <v>58</v>
      </c>
      <c r="D154" s="47">
        <v>7000000</v>
      </c>
      <c r="E154" s="45">
        <f>E155</f>
        <v>500000</v>
      </c>
      <c r="F154" s="45">
        <f t="shared" si="35"/>
        <v>7500000</v>
      </c>
      <c r="G154" s="7"/>
      <c r="H154" s="7"/>
    </row>
    <row r="155" spans="1:8" ht="23.25" customHeight="1" x14ac:dyDescent="0.2">
      <c r="A155" s="56"/>
      <c r="B155" s="56"/>
      <c r="C155" s="48" t="s">
        <v>14</v>
      </c>
      <c r="D155" s="69">
        <v>7000000</v>
      </c>
      <c r="E155" s="55">
        <f>500000</f>
        <v>500000</v>
      </c>
      <c r="F155" s="55">
        <f t="shared" si="35"/>
        <v>7500000</v>
      </c>
      <c r="G155" s="7"/>
      <c r="H155" s="7"/>
    </row>
    <row r="156" spans="1:8" ht="78.599999999999994" customHeight="1" x14ac:dyDescent="0.2">
      <c r="A156" s="77">
        <v>1600000</v>
      </c>
      <c r="B156" s="27"/>
      <c r="C156" s="49" t="s">
        <v>106</v>
      </c>
      <c r="D156" s="30">
        <f>D157</f>
        <v>502000</v>
      </c>
      <c r="E156" s="30">
        <f>E157</f>
        <v>192150</v>
      </c>
      <c r="F156" s="30">
        <f t="shared" si="35"/>
        <v>694150</v>
      </c>
      <c r="G156" s="7"/>
      <c r="H156" s="7"/>
    </row>
    <row r="157" spans="1:8" ht="80.45" customHeight="1" x14ac:dyDescent="0.2">
      <c r="A157" s="77">
        <v>1610000</v>
      </c>
      <c r="B157" s="49"/>
      <c r="C157" s="49" t="s">
        <v>106</v>
      </c>
      <c r="D157" s="30">
        <v>502000</v>
      </c>
      <c r="E157" s="30">
        <f>E159</f>
        <v>192150</v>
      </c>
      <c r="F157" s="30">
        <f t="shared" si="35"/>
        <v>694150</v>
      </c>
      <c r="G157" s="7"/>
      <c r="H157" s="7"/>
    </row>
    <row r="158" spans="1:8" ht="21" customHeight="1" x14ac:dyDescent="0.2">
      <c r="A158" s="78"/>
      <c r="B158" s="68"/>
      <c r="C158" s="68" t="s">
        <v>6</v>
      </c>
      <c r="D158" s="46">
        <v>12000</v>
      </c>
      <c r="E158" s="46">
        <f>E160</f>
        <v>192150</v>
      </c>
      <c r="F158" s="46">
        <f t="shared" ref="F158" si="41">D158+E158</f>
        <v>204150</v>
      </c>
      <c r="G158" s="7"/>
      <c r="H158" s="7"/>
    </row>
    <row r="159" spans="1:8" ht="57" customHeight="1" x14ac:dyDescent="0.2">
      <c r="A159" s="67" t="s">
        <v>107</v>
      </c>
      <c r="B159" s="67" t="s">
        <v>108</v>
      </c>
      <c r="C159" s="83" t="s">
        <v>109</v>
      </c>
      <c r="D159" s="47">
        <v>0</v>
      </c>
      <c r="E159" s="45">
        <f>E160</f>
        <v>192150</v>
      </c>
      <c r="F159" s="45">
        <f t="shared" ref="F159:F176" si="42">D159+E159</f>
        <v>192150</v>
      </c>
      <c r="G159" s="92"/>
      <c r="H159" s="2"/>
    </row>
    <row r="160" spans="1:8" ht="23.45" customHeight="1" x14ac:dyDescent="0.2">
      <c r="A160" s="56"/>
      <c r="B160" s="56"/>
      <c r="C160" s="48" t="s">
        <v>6</v>
      </c>
      <c r="D160" s="69">
        <v>0</v>
      </c>
      <c r="E160" s="55">
        <f>192150</f>
        <v>192150</v>
      </c>
      <c r="F160" s="55">
        <f t="shared" si="42"/>
        <v>192150</v>
      </c>
      <c r="G160" s="7"/>
      <c r="H160" s="2"/>
    </row>
    <row r="161" spans="1:11" ht="43.9" customHeight="1" x14ac:dyDescent="0.2">
      <c r="A161" s="77">
        <v>2800000</v>
      </c>
      <c r="B161" s="27"/>
      <c r="C161" s="49" t="s">
        <v>60</v>
      </c>
      <c r="D161" s="30">
        <f>D162</f>
        <v>2051800</v>
      </c>
      <c r="E161" s="30">
        <f>E162</f>
        <v>2500000</v>
      </c>
      <c r="F161" s="30">
        <f t="shared" ref="F161:F170" si="43">D161+E161</f>
        <v>4551800</v>
      </c>
      <c r="G161" s="7"/>
      <c r="H161" s="2"/>
    </row>
    <row r="162" spans="1:11" ht="41.45" customHeight="1" x14ac:dyDescent="0.2">
      <c r="A162" s="77">
        <v>2810000</v>
      </c>
      <c r="B162" s="49"/>
      <c r="C162" s="49" t="s">
        <v>60</v>
      </c>
      <c r="D162" s="30">
        <v>2051800</v>
      </c>
      <c r="E162" s="30">
        <f>E163</f>
        <v>2500000</v>
      </c>
      <c r="F162" s="30">
        <f t="shared" si="43"/>
        <v>4551800</v>
      </c>
      <c r="G162" s="7"/>
      <c r="H162" s="2"/>
    </row>
    <row r="163" spans="1:11" ht="39" customHeight="1" x14ac:dyDescent="0.2">
      <c r="A163" s="67" t="s">
        <v>61</v>
      </c>
      <c r="B163" s="67" t="s">
        <v>57</v>
      </c>
      <c r="C163" s="83" t="s">
        <v>58</v>
      </c>
      <c r="D163" s="47">
        <v>2051800</v>
      </c>
      <c r="E163" s="45">
        <f>E164</f>
        <v>2500000</v>
      </c>
      <c r="F163" s="45">
        <f t="shared" si="43"/>
        <v>4551800</v>
      </c>
      <c r="G163" s="7"/>
      <c r="H163" s="2"/>
    </row>
    <row r="164" spans="1:11" ht="24.6" customHeight="1" x14ac:dyDescent="0.2">
      <c r="A164" s="67"/>
      <c r="B164" s="67"/>
      <c r="C164" s="48" t="s">
        <v>18</v>
      </c>
      <c r="D164" s="69">
        <v>1451800</v>
      </c>
      <c r="E164" s="55">
        <f>2500000</f>
        <v>2500000</v>
      </c>
      <c r="F164" s="55">
        <f t="shared" ref="F164" si="44">D164+E164</f>
        <v>3951800</v>
      </c>
      <c r="G164" s="7"/>
      <c r="H164" s="2"/>
    </row>
    <row r="165" spans="1:11" ht="74.45" customHeight="1" x14ac:dyDescent="0.2">
      <c r="A165" s="77">
        <v>2900000</v>
      </c>
      <c r="B165" s="27"/>
      <c r="C165" s="49" t="s">
        <v>43</v>
      </c>
      <c r="D165" s="30">
        <f>D166</f>
        <v>0</v>
      </c>
      <c r="E165" s="30">
        <f>E166</f>
        <v>600000</v>
      </c>
      <c r="F165" s="30">
        <f t="shared" ref="F165:F169" si="45">D165+E165</f>
        <v>600000</v>
      </c>
      <c r="G165" s="7"/>
      <c r="H165" s="2"/>
    </row>
    <row r="166" spans="1:11" ht="84.6" customHeight="1" x14ac:dyDescent="0.2">
      <c r="A166" s="77">
        <v>2910000</v>
      </c>
      <c r="B166" s="49"/>
      <c r="C166" s="49" t="s">
        <v>43</v>
      </c>
      <c r="D166" s="30">
        <v>0</v>
      </c>
      <c r="E166" s="30">
        <f>E168</f>
        <v>600000</v>
      </c>
      <c r="F166" s="30">
        <f t="shared" si="45"/>
        <v>600000</v>
      </c>
      <c r="G166" s="92"/>
      <c r="H166" s="2"/>
    </row>
    <row r="167" spans="1:11" ht="19.5" customHeight="1" x14ac:dyDescent="0.2">
      <c r="A167" s="78"/>
      <c r="B167" s="68"/>
      <c r="C167" s="68" t="s">
        <v>6</v>
      </c>
      <c r="D167" s="46">
        <v>0</v>
      </c>
      <c r="E167" s="46">
        <f>E169</f>
        <v>600000</v>
      </c>
      <c r="F167" s="46">
        <f t="shared" si="45"/>
        <v>600000</v>
      </c>
      <c r="G167" s="7"/>
      <c r="H167" s="2"/>
    </row>
    <row r="168" spans="1:11" ht="39.6" customHeight="1" x14ac:dyDescent="0.2">
      <c r="A168" s="67" t="s">
        <v>74</v>
      </c>
      <c r="B168" s="67" t="s">
        <v>75</v>
      </c>
      <c r="C168" s="83" t="s">
        <v>80</v>
      </c>
      <c r="D168" s="45">
        <v>0</v>
      </c>
      <c r="E168" s="45">
        <f>E169</f>
        <v>600000</v>
      </c>
      <c r="F168" s="45">
        <f t="shared" si="45"/>
        <v>600000</v>
      </c>
      <c r="G168" s="92"/>
      <c r="H168" s="2"/>
    </row>
    <row r="169" spans="1:11" ht="19.5" customHeight="1" thickBot="1" x14ac:dyDescent="0.25">
      <c r="A169" s="56"/>
      <c r="B169" s="56"/>
      <c r="C169" s="48" t="s">
        <v>6</v>
      </c>
      <c r="D169" s="69">
        <v>0</v>
      </c>
      <c r="E169" s="55">
        <f>600000</f>
        <v>600000</v>
      </c>
      <c r="F169" s="55">
        <f t="shared" si="45"/>
        <v>600000</v>
      </c>
      <c r="G169" s="7"/>
      <c r="H169" s="2"/>
    </row>
    <row r="170" spans="1:11" ht="45.6" customHeight="1" thickBot="1" x14ac:dyDescent="0.35">
      <c r="A170" s="11"/>
      <c r="B170" s="11"/>
      <c r="C170" s="37" t="s">
        <v>21</v>
      </c>
      <c r="D170" s="43">
        <f>D10+D70</f>
        <v>7494477819</v>
      </c>
      <c r="E170" s="43">
        <f>E10+E70</f>
        <v>156289570.81</v>
      </c>
      <c r="F170" s="43">
        <f t="shared" si="43"/>
        <v>7650767389.8100004</v>
      </c>
      <c r="G170" s="7"/>
      <c r="H170" s="88"/>
      <c r="I170" s="74"/>
      <c r="J170" s="80"/>
      <c r="K170" s="98"/>
    </row>
    <row r="171" spans="1:11" ht="39.6" customHeight="1" thickBot="1" x14ac:dyDescent="0.35">
      <c r="A171" s="11"/>
      <c r="B171" s="62"/>
      <c r="C171" s="37" t="s">
        <v>9</v>
      </c>
      <c r="D171" s="26">
        <f>D172+D173</f>
        <v>-584363943</v>
      </c>
      <c r="E171" s="26">
        <f>E172+E173</f>
        <v>85546657.159999996</v>
      </c>
      <c r="F171" s="26">
        <f t="shared" si="42"/>
        <v>-498817285.84000003</v>
      </c>
      <c r="G171" s="7"/>
      <c r="H171" s="88"/>
      <c r="I171" s="79"/>
      <c r="J171" s="80"/>
    </row>
    <row r="172" spans="1:11" ht="69.599999999999994" customHeight="1" thickBot="1" x14ac:dyDescent="0.35">
      <c r="A172" s="58"/>
      <c r="B172" s="58"/>
      <c r="C172" s="59" t="s">
        <v>69</v>
      </c>
      <c r="D172" s="60">
        <v>0</v>
      </c>
      <c r="E172" s="60">
        <f>123085117.45+398000+857000+2300000</f>
        <v>126640117.45</v>
      </c>
      <c r="F172" s="60">
        <f t="shared" si="42"/>
        <v>126640117.45</v>
      </c>
      <c r="G172" s="7"/>
      <c r="H172" s="88"/>
      <c r="I172" s="79"/>
      <c r="J172" s="80"/>
    </row>
    <row r="173" spans="1:11" ht="66.599999999999994" customHeight="1" thickBot="1" x14ac:dyDescent="0.25">
      <c r="A173" s="22"/>
      <c r="B173" s="65"/>
      <c r="C173" s="40" t="s">
        <v>4</v>
      </c>
      <c r="D173" s="44">
        <f>-580860135-3503808</f>
        <v>-584363943</v>
      </c>
      <c r="E173" s="44">
        <f>-E176</f>
        <v>-41093460.289999999</v>
      </c>
      <c r="F173" s="44">
        <f t="shared" si="42"/>
        <v>-625457403.28999996</v>
      </c>
      <c r="G173" s="7"/>
      <c r="H173" s="88"/>
      <c r="I173" s="79"/>
      <c r="J173" s="7"/>
      <c r="K173" s="80"/>
    </row>
    <row r="174" spans="1:11" ht="40.15" customHeight="1" thickBot="1" x14ac:dyDescent="0.35">
      <c r="A174" s="11"/>
      <c r="B174" s="62"/>
      <c r="C174" s="37" t="s">
        <v>10</v>
      </c>
      <c r="D174" s="26">
        <f>SUM(D175:D176)+6002838</f>
        <v>590366781</v>
      </c>
      <c r="E174" s="26">
        <f>SUM(E175:E176)</f>
        <v>70742913.650000006</v>
      </c>
      <c r="F174" s="26">
        <f t="shared" si="42"/>
        <v>661109694.64999998</v>
      </c>
      <c r="G174" s="7"/>
      <c r="H174" s="88"/>
      <c r="I174" s="79"/>
      <c r="J174" s="7"/>
      <c r="K174" s="80"/>
    </row>
    <row r="175" spans="1:11" ht="73.150000000000006" customHeight="1" thickBot="1" x14ac:dyDescent="0.25">
      <c r="A175" s="61"/>
      <c r="B175" s="61"/>
      <c r="C175" s="59" t="s">
        <v>70</v>
      </c>
      <c r="D175" s="60">
        <v>0</v>
      </c>
      <c r="E175" s="44">
        <f>E94+E113+E118+E130+E132+E134+E141+E143+E145+E147+E154+E163</f>
        <v>29649453.359999999</v>
      </c>
      <c r="F175" s="60">
        <f t="shared" si="42"/>
        <v>29649453.359999999</v>
      </c>
      <c r="G175" s="7"/>
      <c r="H175" s="88"/>
      <c r="I175" s="79"/>
      <c r="J175" s="7"/>
      <c r="K175" s="79"/>
    </row>
    <row r="176" spans="1:11" ht="74.45" customHeight="1" thickBot="1" x14ac:dyDescent="0.25">
      <c r="A176" s="22"/>
      <c r="B176" s="65"/>
      <c r="C176" s="40" t="s">
        <v>5</v>
      </c>
      <c r="D176" s="44">
        <f>580860135+3503808</f>
        <v>584363943</v>
      </c>
      <c r="E176" s="44">
        <f>E71-E113-E141-E143-E145-E147</f>
        <v>41093460.289999999</v>
      </c>
      <c r="F176" s="44">
        <f t="shared" si="42"/>
        <v>625457403.28999996</v>
      </c>
      <c r="G176" s="7"/>
      <c r="H176" s="2"/>
      <c r="I176" s="80"/>
      <c r="J176" s="12"/>
      <c r="K176" s="80"/>
    </row>
    <row r="177" spans="1:12" ht="53.45" customHeight="1" x14ac:dyDescent="0.2">
      <c r="A177" s="23"/>
      <c r="B177" s="23"/>
      <c r="C177" s="24"/>
      <c r="D177" s="7"/>
      <c r="E177" s="7"/>
      <c r="F177" s="7"/>
      <c r="G177" s="7"/>
      <c r="H177" s="2"/>
      <c r="J177" s="7"/>
      <c r="K177" s="80"/>
    </row>
    <row r="178" spans="1:12" ht="106.9" customHeight="1" x14ac:dyDescent="0.35">
      <c r="A178" s="101" t="s">
        <v>144</v>
      </c>
      <c r="B178" s="101"/>
      <c r="C178" s="101"/>
      <c r="D178" s="10"/>
      <c r="E178" s="53" t="s">
        <v>145</v>
      </c>
      <c r="F178" s="12"/>
      <c r="G178" s="12"/>
      <c r="H178" s="88"/>
      <c r="J178" s="31"/>
      <c r="K178" s="31"/>
      <c r="L178" s="31"/>
    </row>
    <row r="179" spans="1:12" ht="23.25" customHeight="1" x14ac:dyDescent="0.35">
      <c r="A179" s="15"/>
      <c r="B179" s="15"/>
      <c r="C179" s="13"/>
      <c r="D179" s="10"/>
      <c r="E179" s="14"/>
      <c r="F179" s="12"/>
      <c r="G179" s="12"/>
      <c r="H179" s="88"/>
      <c r="J179" s="31"/>
      <c r="K179" s="31"/>
      <c r="L179" s="31"/>
    </row>
    <row r="180" spans="1:12" ht="20.25" x14ac:dyDescent="0.3">
      <c r="A180" s="10"/>
      <c r="B180" s="10"/>
      <c r="E180" s="10"/>
      <c r="F180" s="5"/>
      <c r="G180" s="5"/>
      <c r="H180" s="2"/>
      <c r="J180" s="31"/>
      <c r="K180" s="31"/>
      <c r="L180" s="31"/>
    </row>
    <row r="181" spans="1:12" ht="18.75" x14ac:dyDescent="0.3">
      <c r="A181" s="8"/>
      <c r="B181" s="8"/>
      <c r="C181" s="9"/>
      <c r="D181" s="5"/>
      <c r="E181" s="5"/>
      <c r="F181" s="5"/>
      <c r="G181" s="5"/>
      <c r="H181" s="2"/>
    </row>
    <row r="182" spans="1:12" ht="18.75" x14ac:dyDescent="0.3">
      <c r="A182" s="8"/>
      <c r="B182" s="8"/>
      <c r="C182" s="9"/>
      <c r="D182" s="5"/>
      <c r="E182" s="25"/>
      <c r="F182" s="5"/>
      <c r="G182" s="5"/>
      <c r="H182" s="2"/>
    </row>
    <row r="183" spans="1:12" ht="18.75" x14ac:dyDescent="0.3">
      <c r="A183" s="8"/>
      <c r="B183" s="8"/>
      <c r="C183" s="9"/>
      <c r="D183" s="5"/>
      <c r="E183" s="5"/>
      <c r="F183" s="5"/>
      <c r="G183" s="5"/>
      <c r="H183" s="2"/>
      <c r="I183" s="33"/>
      <c r="J183" s="33"/>
      <c r="K183" s="33"/>
    </row>
    <row r="184" spans="1:12" ht="18.75" x14ac:dyDescent="0.3">
      <c r="A184" s="8"/>
      <c r="B184" s="8"/>
      <c r="C184" s="9"/>
      <c r="D184" s="5"/>
      <c r="E184" s="5"/>
      <c r="F184" s="5"/>
      <c r="G184" s="5"/>
      <c r="H184" s="2"/>
    </row>
    <row r="185" spans="1:12" ht="18.75" x14ac:dyDescent="0.3">
      <c r="A185" s="8"/>
      <c r="B185" s="8"/>
      <c r="C185" s="9"/>
      <c r="D185" s="5"/>
      <c r="E185" s="5"/>
      <c r="F185" s="5"/>
      <c r="G185" s="5"/>
      <c r="H185" s="2"/>
    </row>
    <row r="186" spans="1:12" ht="18.75" x14ac:dyDescent="0.3">
      <c r="A186" s="8"/>
      <c r="B186" s="8"/>
      <c r="C186" s="9"/>
      <c r="D186" s="5"/>
      <c r="E186" s="5"/>
      <c r="F186" s="5"/>
      <c r="G186" s="5"/>
      <c r="H186" s="2"/>
    </row>
    <row r="187" spans="1:12" ht="18.75" x14ac:dyDescent="0.3">
      <c r="A187" s="8"/>
      <c r="B187" s="8"/>
      <c r="C187" s="9"/>
      <c r="D187" s="5"/>
      <c r="E187" s="5"/>
      <c r="F187" s="5"/>
      <c r="G187" s="5"/>
      <c r="H187" s="2"/>
    </row>
    <row r="188" spans="1:12" ht="18.75" x14ac:dyDescent="0.3">
      <c r="A188" s="8"/>
      <c r="B188" s="8"/>
      <c r="C188" s="9"/>
      <c r="D188" s="5"/>
      <c r="E188" s="5"/>
      <c r="F188" s="5"/>
      <c r="G188" s="5"/>
      <c r="H188" s="2"/>
    </row>
    <row r="189" spans="1:12" ht="18.75" x14ac:dyDescent="0.3">
      <c r="A189" s="8"/>
      <c r="B189" s="8"/>
      <c r="C189" s="9"/>
      <c r="D189" s="5"/>
      <c r="E189" s="5"/>
      <c r="F189" s="5"/>
      <c r="G189" s="5"/>
      <c r="H189" s="2"/>
    </row>
    <row r="190" spans="1:12" ht="18.75" x14ac:dyDescent="0.3">
      <c r="A190" s="8"/>
      <c r="B190" s="8"/>
      <c r="C190" s="9"/>
      <c r="D190" s="5"/>
      <c r="E190" s="5"/>
      <c r="F190" s="5"/>
      <c r="G190" s="5"/>
      <c r="H190" s="2"/>
    </row>
    <row r="191" spans="1:12" ht="18.75" x14ac:dyDescent="0.3">
      <c r="A191" s="8"/>
      <c r="B191" s="8"/>
      <c r="C191" s="9"/>
      <c r="D191" s="5"/>
      <c r="E191" s="5"/>
      <c r="F191" s="5"/>
      <c r="G191" s="5"/>
      <c r="H191" s="2"/>
    </row>
    <row r="192" spans="1:12" x14ac:dyDescent="0.2">
      <c r="A192" s="3"/>
      <c r="B192" s="3"/>
      <c r="C192" s="2"/>
      <c r="H192" s="2"/>
    </row>
    <row r="193" spans="1:8" x14ac:dyDescent="0.2">
      <c r="A193" s="3"/>
      <c r="B193" s="3"/>
      <c r="C193" s="2"/>
      <c r="H193" s="2"/>
    </row>
    <row r="194" spans="1:8" x14ac:dyDescent="0.2">
      <c r="A194" s="3"/>
      <c r="B194" s="3"/>
      <c r="C194" s="2"/>
      <c r="H194" s="2"/>
    </row>
    <row r="195" spans="1:8" x14ac:dyDescent="0.2">
      <c r="A195" s="3"/>
      <c r="B195" s="3"/>
      <c r="C195" s="2"/>
      <c r="H195" s="2"/>
    </row>
    <row r="196" spans="1:8" x14ac:dyDescent="0.2">
      <c r="A196" s="3"/>
      <c r="B196" s="3"/>
      <c r="C196" s="2"/>
      <c r="H196" s="2"/>
    </row>
    <row r="197" spans="1:8" x14ac:dyDescent="0.2">
      <c r="A197" s="3"/>
      <c r="B197" s="3"/>
      <c r="C197" s="2"/>
      <c r="H197" s="2"/>
    </row>
    <row r="198" spans="1:8" x14ac:dyDescent="0.2">
      <c r="A198" s="3"/>
      <c r="B198" s="3"/>
      <c r="C198" s="2"/>
      <c r="H198" s="2"/>
    </row>
    <row r="199" spans="1:8" x14ac:dyDescent="0.2">
      <c r="A199" s="3"/>
      <c r="B199" s="3"/>
      <c r="C199" s="2"/>
      <c r="H199" s="2"/>
    </row>
    <row r="200" spans="1:8" x14ac:dyDescent="0.2">
      <c r="A200" s="3"/>
      <c r="B200" s="3"/>
      <c r="C200" s="2"/>
      <c r="H200" s="2"/>
    </row>
    <row r="201" spans="1:8" x14ac:dyDescent="0.2">
      <c r="A201" s="3"/>
      <c r="B201" s="3"/>
      <c r="C201" s="2"/>
      <c r="H201" s="2"/>
    </row>
    <row r="202" spans="1:8" x14ac:dyDescent="0.2">
      <c r="A202" s="3"/>
      <c r="B202" s="3"/>
      <c r="C202" s="2"/>
      <c r="H202" s="2"/>
    </row>
    <row r="203" spans="1:8" x14ac:dyDescent="0.2">
      <c r="A203" s="3"/>
      <c r="B203" s="3"/>
      <c r="C203" s="2"/>
      <c r="H203" s="2"/>
    </row>
    <row r="204" spans="1:8" x14ac:dyDescent="0.2">
      <c r="A204" s="3"/>
      <c r="B204" s="3"/>
      <c r="C204" s="2"/>
      <c r="H204" s="2"/>
    </row>
    <row r="205" spans="1:8" x14ac:dyDescent="0.2">
      <c r="A205" s="3"/>
      <c r="B205" s="3"/>
      <c r="C205" s="2"/>
      <c r="H205" s="2"/>
    </row>
    <row r="206" spans="1:8" x14ac:dyDescent="0.2">
      <c r="A206" s="3"/>
      <c r="B206" s="3"/>
      <c r="C206" s="2"/>
      <c r="H206" s="2"/>
    </row>
    <row r="207" spans="1:8" x14ac:dyDescent="0.2">
      <c r="A207" s="3"/>
      <c r="B207" s="3"/>
      <c r="C207" s="2"/>
      <c r="H207" s="2"/>
    </row>
    <row r="208" spans="1:8" x14ac:dyDescent="0.2">
      <c r="A208" s="3"/>
      <c r="B208" s="3"/>
      <c r="C208" s="2"/>
      <c r="H208" s="2"/>
    </row>
    <row r="209" spans="1:8" x14ac:dyDescent="0.2">
      <c r="A209" s="3"/>
      <c r="B209" s="3"/>
      <c r="C209" s="2"/>
      <c r="H209" s="2"/>
    </row>
    <row r="210" spans="1:8" x14ac:dyDescent="0.2">
      <c r="A210" s="3"/>
      <c r="B210" s="3"/>
      <c r="C210" s="2"/>
      <c r="H210" s="2"/>
    </row>
    <row r="211" spans="1:8" x14ac:dyDescent="0.2">
      <c r="A211" s="3"/>
      <c r="B211" s="3"/>
      <c r="C211" s="2"/>
      <c r="H211" s="2"/>
    </row>
    <row r="212" spans="1:8" x14ac:dyDescent="0.2">
      <c r="A212" s="3"/>
      <c r="B212" s="3"/>
      <c r="C212" s="2"/>
      <c r="H212" s="2"/>
    </row>
    <row r="213" spans="1:8" x14ac:dyDescent="0.2">
      <c r="A213" s="3"/>
      <c r="B213" s="3"/>
      <c r="C213" s="2"/>
      <c r="H213" s="2"/>
    </row>
    <row r="214" spans="1:8" x14ac:dyDescent="0.2">
      <c r="A214" s="3"/>
      <c r="B214" s="3"/>
      <c r="C214" s="2"/>
      <c r="H214" s="2"/>
    </row>
    <row r="215" spans="1:8" x14ac:dyDescent="0.2">
      <c r="A215" s="3"/>
      <c r="B215" s="3"/>
      <c r="C215" s="2"/>
      <c r="H215" s="2"/>
    </row>
    <row r="216" spans="1:8" x14ac:dyDescent="0.2">
      <c r="A216" s="3"/>
      <c r="B216" s="3"/>
      <c r="C216" s="2"/>
      <c r="H216" s="2"/>
    </row>
    <row r="217" spans="1:8" x14ac:dyDescent="0.2">
      <c r="A217" s="3"/>
      <c r="B217" s="3"/>
      <c r="C217" s="2"/>
      <c r="H217" s="2"/>
    </row>
    <row r="218" spans="1:8" x14ac:dyDescent="0.2">
      <c r="A218" s="3"/>
      <c r="B218" s="3"/>
      <c r="C218" s="2"/>
      <c r="H218" s="2"/>
    </row>
    <row r="219" spans="1:8" x14ac:dyDescent="0.2">
      <c r="A219" s="3"/>
      <c r="B219" s="3"/>
      <c r="C219" s="2"/>
      <c r="H219" s="2"/>
    </row>
    <row r="220" spans="1:8" x14ac:dyDescent="0.2">
      <c r="A220" s="3"/>
      <c r="B220" s="3"/>
      <c r="C220" s="2"/>
      <c r="H220" s="2"/>
    </row>
    <row r="221" spans="1:8" x14ac:dyDescent="0.2">
      <c r="A221" s="3"/>
      <c r="B221" s="3"/>
      <c r="C221" s="2"/>
      <c r="H221" s="2"/>
    </row>
    <row r="222" spans="1:8" x14ac:dyDescent="0.2">
      <c r="A222" s="3"/>
      <c r="B222" s="3"/>
      <c r="C222" s="2"/>
    </row>
    <row r="223" spans="1:8" x14ac:dyDescent="0.2">
      <c r="A223" s="3"/>
      <c r="B223" s="3"/>
      <c r="C223" s="2"/>
    </row>
    <row r="224" spans="1:8" x14ac:dyDescent="0.2">
      <c r="A224" s="3"/>
      <c r="B224" s="3"/>
      <c r="C224" s="2"/>
    </row>
    <row r="225" spans="1:3" x14ac:dyDescent="0.2">
      <c r="A225" s="3"/>
      <c r="B225" s="3"/>
      <c r="C225" s="2"/>
    </row>
    <row r="226" spans="1:3" x14ac:dyDescent="0.2">
      <c r="A226" s="3"/>
      <c r="B226" s="3"/>
      <c r="C226" s="2"/>
    </row>
    <row r="227" spans="1:3" x14ac:dyDescent="0.2">
      <c r="A227" s="3"/>
      <c r="B227" s="3"/>
      <c r="C227" s="2"/>
    </row>
    <row r="228" spans="1:3" x14ac:dyDescent="0.2">
      <c r="A228" s="3"/>
      <c r="B228" s="3"/>
      <c r="C228" s="2"/>
    </row>
    <row r="229" spans="1:3" x14ac:dyDescent="0.2">
      <c r="A229" s="3"/>
      <c r="B229" s="3"/>
      <c r="C229" s="2"/>
    </row>
    <row r="230" spans="1:3" x14ac:dyDescent="0.2">
      <c r="A230" s="3"/>
      <c r="B230" s="3"/>
      <c r="C230" s="2"/>
    </row>
    <row r="231" spans="1:3" x14ac:dyDescent="0.2">
      <c r="A231" s="3"/>
      <c r="B231" s="3"/>
      <c r="C231" s="2"/>
    </row>
    <row r="232" spans="1:3" x14ac:dyDescent="0.2">
      <c r="A232" s="3"/>
      <c r="B232" s="3"/>
      <c r="C232" s="2"/>
    </row>
    <row r="233" spans="1:3" x14ac:dyDescent="0.2">
      <c r="A233" s="3"/>
      <c r="B233" s="3"/>
      <c r="C233" s="2"/>
    </row>
    <row r="234" spans="1:3" x14ac:dyDescent="0.2">
      <c r="A234" s="3"/>
      <c r="B234" s="3"/>
      <c r="C234" s="2"/>
    </row>
    <row r="235" spans="1:3" x14ac:dyDescent="0.2">
      <c r="A235" s="3"/>
      <c r="B235" s="3"/>
      <c r="C235" s="2"/>
    </row>
    <row r="236" spans="1:3" x14ac:dyDescent="0.2">
      <c r="A236" s="3"/>
      <c r="B236" s="3"/>
      <c r="C236" s="2"/>
    </row>
    <row r="237" spans="1:3" x14ac:dyDescent="0.2">
      <c r="A237" s="3"/>
      <c r="B237" s="3"/>
      <c r="C237" s="2"/>
    </row>
    <row r="238" spans="1:3" x14ac:dyDescent="0.2">
      <c r="A238" s="3"/>
      <c r="B238" s="3"/>
      <c r="C238" s="2"/>
    </row>
    <row r="239" spans="1:3" x14ac:dyDescent="0.2">
      <c r="A239" s="3"/>
      <c r="B239" s="3"/>
      <c r="C239" s="2"/>
    </row>
    <row r="240" spans="1:3" x14ac:dyDescent="0.2">
      <c r="A240" s="3"/>
      <c r="B240" s="3"/>
      <c r="C240" s="2"/>
    </row>
    <row r="241" spans="1:3" x14ac:dyDescent="0.2">
      <c r="A241" s="3"/>
      <c r="B241" s="3"/>
      <c r="C241" s="2"/>
    </row>
    <row r="242" spans="1:3" x14ac:dyDescent="0.2">
      <c r="A242" s="3"/>
      <c r="B242" s="3"/>
      <c r="C242" s="2"/>
    </row>
    <row r="243" spans="1:3" x14ac:dyDescent="0.2">
      <c r="A243" s="3"/>
      <c r="B243" s="3"/>
      <c r="C243" s="2"/>
    </row>
    <row r="244" spans="1:3" x14ac:dyDescent="0.2">
      <c r="A244" s="3"/>
      <c r="B244" s="3"/>
      <c r="C244" s="2"/>
    </row>
    <row r="245" spans="1:3" x14ac:dyDescent="0.2">
      <c r="A245" s="3"/>
      <c r="B245" s="3"/>
      <c r="C245" s="2"/>
    </row>
    <row r="246" spans="1:3" x14ac:dyDescent="0.2">
      <c r="A246" s="3"/>
      <c r="B246" s="3"/>
      <c r="C246" s="2"/>
    </row>
    <row r="247" spans="1:3" x14ac:dyDescent="0.2">
      <c r="A247" s="3"/>
      <c r="B247" s="3"/>
      <c r="C247" s="2"/>
    </row>
    <row r="248" spans="1:3" x14ac:dyDescent="0.2">
      <c r="A248" s="3"/>
      <c r="B248" s="3"/>
      <c r="C248" s="2"/>
    </row>
    <row r="249" spans="1:3" x14ac:dyDescent="0.2">
      <c r="A249" s="3"/>
      <c r="B249" s="3"/>
      <c r="C249" s="2"/>
    </row>
    <row r="250" spans="1:3" x14ac:dyDescent="0.2">
      <c r="A250" s="3"/>
      <c r="B250" s="3"/>
      <c r="C250" s="2"/>
    </row>
    <row r="251" spans="1:3" x14ac:dyDescent="0.2">
      <c r="A251" s="3"/>
      <c r="B251" s="3"/>
      <c r="C251" s="2"/>
    </row>
    <row r="252" spans="1:3" x14ac:dyDescent="0.2">
      <c r="A252" s="3"/>
      <c r="B252" s="3"/>
      <c r="C252" s="2"/>
    </row>
    <row r="253" spans="1:3" x14ac:dyDescent="0.2">
      <c r="A253" s="3"/>
      <c r="B253" s="3"/>
      <c r="C253" s="2"/>
    </row>
    <row r="254" spans="1:3" x14ac:dyDescent="0.2">
      <c r="A254" s="3"/>
      <c r="B254" s="3"/>
      <c r="C254" s="2"/>
    </row>
    <row r="255" spans="1:3" x14ac:dyDescent="0.2">
      <c r="A255" s="3"/>
      <c r="B255" s="3"/>
      <c r="C255" s="2"/>
    </row>
    <row r="256" spans="1:3" x14ac:dyDescent="0.2">
      <c r="A256" s="3"/>
      <c r="B256" s="3"/>
    </row>
    <row r="257" spans="1:2" x14ac:dyDescent="0.2">
      <c r="A257" s="3"/>
      <c r="B257" s="3"/>
    </row>
    <row r="258" spans="1:2" x14ac:dyDescent="0.2">
      <c r="A258" s="3"/>
      <c r="B258" s="3"/>
    </row>
    <row r="259" spans="1:2" x14ac:dyDescent="0.2">
      <c r="A259" s="3"/>
      <c r="B259" s="3"/>
    </row>
    <row r="260" spans="1:2" x14ac:dyDescent="0.2">
      <c r="A260" s="3"/>
      <c r="B260" s="3"/>
    </row>
    <row r="261" spans="1:2" x14ac:dyDescent="0.2">
      <c r="A261" s="3"/>
      <c r="B261" s="3"/>
    </row>
    <row r="262" spans="1:2" x14ac:dyDescent="0.2">
      <c r="A262" s="3"/>
      <c r="B262" s="3"/>
    </row>
    <row r="263" spans="1:2" x14ac:dyDescent="0.2">
      <c r="A263" s="3"/>
      <c r="B263" s="3"/>
    </row>
    <row r="264" spans="1:2" x14ac:dyDescent="0.2">
      <c r="A264" s="3"/>
      <c r="B264" s="3"/>
    </row>
    <row r="265" spans="1:2" x14ac:dyDescent="0.2">
      <c r="A265" s="3"/>
      <c r="B265" s="3"/>
    </row>
    <row r="266" spans="1:2" x14ac:dyDescent="0.2">
      <c r="A266" s="3"/>
      <c r="B266" s="3"/>
    </row>
    <row r="267" spans="1:2" x14ac:dyDescent="0.2">
      <c r="A267" s="3"/>
      <c r="B267" s="3"/>
    </row>
    <row r="268" spans="1:2" x14ac:dyDescent="0.2">
      <c r="A268" s="3"/>
      <c r="B268" s="3"/>
    </row>
    <row r="269" spans="1:2" x14ac:dyDescent="0.2">
      <c r="A269" s="3"/>
      <c r="B269" s="3"/>
    </row>
    <row r="270" spans="1:2" x14ac:dyDescent="0.2">
      <c r="A270" s="3"/>
      <c r="B270" s="3"/>
    </row>
    <row r="271" spans="1:2" x14ac:dyDescent="0.2">
      <c r="A271" s="3"/>
      <c r="B271" s="3"/>
    </row>
    <row r="272" spans="1:2" x14ac:dyDescent="0.2">
      <c r="A272" s="3"/>
      <c r="B272" s="3"/>
    </row>
    <row r="273" spans="1:2" x14ac:dyDescent="0.2">
      <c r="A273" s="3"/>
      <c r="B273" s="3"/>
    </row>
    <row r="274" spans="1:2" x14ac:dyDescent="0.2">
      <c r="A274" s="3"/>
      <c r="B274" s="3"/>
    </row>
    <row r="275" spans="1:2" x14ac:dyDescent="0.2">
      <c r="A275" s="3"/>
      <c r="B275" s="3"/>
    </row>
    <row r="276" spans="1:2" x14ac:dyDescent="0.2">
      <c r="A276" s="3"/>
      <c r="B276" s="3"/>
    </row>
    <row r="277" spans="1:2" x14ac:dyDescent="0.2">
      <c r="A277" s="3"/>
      <c r="B277" s="3"/>
    </row>
    <row r="278" spans="1:2" x14ac:dyDescent="0.2">
      <c r="A278" s="3"/>
      <c r="B278" s="3"/>
    </row>
    <row r="279" spans="1:2" x14ac:dyDescent="0.2">
      <c r="A279" s="3"/>
      <c r="B279" s="3"/>
    </row>
    <row r="280" spans="1:2" x14ac:dyDescent="0.2">
      <c r="A280" s="3"/>
      <c r="B280" s="3"/>
    </row>
    <row r="281" spans="1:2" x14ac:dyDescent="0.2">
      <c r="A281" s="3"/>
      <c r="B281" s="3"/>
    </row>
    <row r="282" spans="1:2" x14ac:dyDescent="0.2">
      <c r="A282" s="3"/>
      <c r="B282" s="3"/>
    </row>
    <row r="283" spans="1:2" x14ac:dyDescent="0.2">
      <c r="A283" s="3"/>
      <c r="B283" s="3"/>
    </row>
    <row r="284" spans="1:2" x14ac:dyDescent="0.2">
      <c r="A284" s="3"/>
      <c r="B284" s="3"/>
    </row>
    <row r="285" spans="1:2" x14ac:dyDescent="0.2">
      <c r="A285" s="3"/>
      <c r="B285" s="3"/>
    </row>
    <row r="286" spans="1:2" x14ac:dyDescent="0.2">
      <c r="A286" s="3"/>
      <c r="B286" s="3"/>
    </row>
    <row r="287" spans="1:2" x14ac:dyDescent="0.2">
      <c r="A287" s="3"/>
      <c r="B287" s="3"/>
    </row>
    <row r="288" spans="1:2" x14ac:dyDescent="0.2">
      <c r="A288" s="3"/>
      <c r="B288" s="3"/>
    </row>
    <row r="289" spans="1:2" x14ac:dyDescent="0.2">
      <c r="A289" s="3"/>
      <c r="B289" s="3"/>
    </row>
    <row r="290" spans="1:2" x14ac:dyDescent="0.2">
      <c r="A290" s="3"/>
      <c r="B290" s="3"/>
    </row>
    <row r="291" spans="1:2" x14ac:dyDescent="0.2">
      <c r="A291" s="3"/>
      <c r="B291" s="3"/>
    </row>
    <row r="292" spans="1:2" x14ac:dyDescent="0.2">
      <c r="A292" s="3"/>
      <c r="B292" s="3"/>
    </row>
  </sheetData>
  <mergeCells count="8">
    <mergeCell ref="A178:C178"/>
    <mergeCell ref="A4:F4"/>
    <mergeCell ref="C7:C8"/>
    <mergeCell ref="D7:D8"/>
    <mergeCell ref="E7:E8"/>
    <mergeCell ref="F7:F8"/>
    <mergeCell ref="A7:A8"/>
    <mergeCell ref="B7:B8"/>
  </mergeCells>
  <phoneticPr fontId="0" type="noConversion"/>
  <pageMargins left="0.62992125984251968" right="0.39370078740157483" top="0.78740157480314965" bottom="0.62992125984251968" header="0.51181102362204722" footer="0.27559055118110237"/>
  <pageSetup paperSize="9" scale="69" orientation="portrait" r:id="rId1"/>
  <headerFooter differentFirst="1" alignWithMargins="0">
    <oddHeader xml:space="preserve">&amp;C&amp;"Times New Roman,курсив"&amp;14&amp;P&amp;R&amp;"Times New Roman,курсив"&amp;16Продовження додатка  
      </oddHeader>
  </headerFooter>
  <rowBreaks count="1" manualBreakCount="1">
    <brk id="179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додаток</vt:lpstr>
      <vt:lpstr>додаток!Заголовки_для_печати</vt:lpstr>
      <vt:lpstr>додаток!Область_печати</vt:lpstr>
    </vt:vector>
  </TitlesOfParts>
  <Company>OEM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org301</cp:lastModifiedBy>
  <cp:lastPrinted>2019-01-18T13:51:55Z</cp:lastPrinted>
  <dcterms:created xsi:type="dcterms:W3CDTF">2005-04-08T06:14:05Z</dcterms:created>
  <dcterms:modified xsi:type="dcterms:W3CDTF">2019-01-28T12:19:29Z</dcterms:modified>
</cp:coreProperties>
</file>