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80" windowWidth="11340" windowHeight="261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додаток!$A$1:$F$270</definedName>
  </definedNames>
  <calcPr calcId="145621"/>
</workbook>
</file>

<file path=xl/calcChain.xml><?xml version="1.0" encoding="utf-8"?>
<calcChain xmlns="http://schemas.openxmlformats.org/spreadsheetml/2006/main">
  <c r="E61" i="4"/>
  <c r="E14"/>
  <c r="E166" l="1"/>
  <c r="E172"/>
  <c r="E174"/>
  <c r="D150" l="1"/>
  <c r="E256" l="1"/>
  <c r="F256" s="1"/>
  <c r="E154"/>
  <c r="F155"/>
  <c r="F154"/>
  <c r="F47"/>
  <c r="E46"/>
  <c r="F46" s="1"/>
  <c r="D143"/>
  <c r="F143" s="1"/>
  <c r="D142"/>
  <c r="D141"/>
  <c r="D140"/>
  <c r="F140" s="1"/>
  <c r="E138"/>
  <c r="D82"/>
  <c r="D65"/>
  <c r="E255" l="1"/>
  <c r="F255" s="1"/>
  <c r="F138"/>
  <c r="F141"/>
  <c r="F142"/>
  <c r="E111"/>
  <c r="D91"/>
  <c r="D90" s="1"/>
  <c r="D70"/>
  <c r="E66" l="1"/>
  <c r="F69"/>
  <c r="E253"/>
  <c r="D253"/>
  <c r="D252" s="1"/>
  <c r="F254"/>
  <c r="D249"/>
  <c r="E124"/>
  <c r="E126"/>
  <c r="E252" l="1"/>
  <c r="E250" s="1"/>
  <c r="F250" s="1"/>
  <c r="E251"/>
  <c r="F253"/>
  <c r="F251"/>
  <c r="E249" l="1"/>
  <c r="F249" s="1"/>
  <c r="F252"/>
  <c r="E28"/>
  <c r="F29"/>
  <c r="E137"/>
  <c r="E134"/>
  <c r="E131"/>
  <c r="D144"/>
  <c r="D137"/>
  <c r="F137" s="1"/>
  <c r="D136"/>
  <c r="F136" s="1"/>
  <c r="E135"/>
  <c r="D135"/>
  <c r="D134"/>
  <c r="E133"/>
  <c r="D133"/>
  <c r="D132"/>
  <c r="F132" s="1"/>
  <c r="D131"/>
  <c r="F131" s="1"/>
  <c r="E129" l="1"/>
  <c r="F133"/>
  <c r="F134"/>
  <c r="F135"/>
  <c r="D129"/>
  <c r="F129" s="1"/>
  <c r="E94" l="1"/>
  <c r="F94" s="1"/>
  <c r="F95"/>
  <c r="E90"/>
  <c r="F90" s="1"/>
  <c r="F91"/>
  <c r="E88"/>
  <c r="E83"/>
  <c r="D58"/>
  <c r="F57"/>
  <c r="E56"/>
  <c r="E55" s="1"/>
  <c r="F55" s="1"/>
  <c r="D56"/>
  <c r="F54"/>
  <c r="F53"/>
  <c r="F52"/>
  <c r="E51"/>
  <c r="F51" s="1"/>
  <c r="F45"/>
  <c r="E44"/>
  <c r="E43" s="1"/>
  <c r="D42"/>
  <c r="F41"/>
  <c r="E40"/>
  <c r="E39" s="1"/>
  <c r="E38" s="1"/>
  <c r="F38" s="1"/>
  <c r="D40"/>
  <c r="F37"/>
  <c r="F36"/>
  <c r="E35"/>
  <c r="D35"/>
  <c r="F34"/>
  <c r="F33"/>
  <c r="F32"/>
  <c r="E31"/>
  <c r="F28"/>
  <c r="E27"/>
  <c r="F27" s="1"/>
  <c r="F25"/>
  <c r="E24"/>
  <c r="F22"/>
  <c r="E21"/>
  <c r="E20" s="1"/>
  <c r="D21"/>
  <c r="F19"/>
  <c r="E18"/>
  <c r="D18"/>
  <c r="F17"/>
  <c r="F16"/>
  <c r="F15"/>
  <c r="F14"/>
  <c r="E13"/>
  <c r="E12" s="1"/>
  <c r="F13" l="1"/>
  <c r="F18"/>
  <c r="F31"/>
  <c r="E30"/>
  <c r="E50"/>
  <c r="F50" s="1"/>
  <c r="F21"/>
  <c r="F24"/>
  <c r="F40"/>
  <c r="D12"/>
  <c r="F12" s="1"/>
  <c r="D20"/>
  <c r="F20" s="1"/>
  <c r="F35"/>
  <c r="D39"/>
  <c r="F39" s="1"/>
  <c r="F44"/>
  <c r="F56"/>
  <c r="E23"/>
  <c r="F23" s="1"/>
  <c r="E49" l="1"/>
  <c r="E11"/>
  <c r="F43"/>
  <c r="E42"/>
  <c r="F42" s="1"/>
  <c r="F30"/>
  <c r="E26"/>
  <c r="F26" s="1"/>
  <c r="F49" l="1"/>
  <c r="E48"/>
  <c r="F48" s="1"/>
  <c r="F11"/>
  <c r="E10"/>
  <c r="E58" l="1"/>
  <c r="F58" s="1"/>
  <c r="F10"/>
  <c r="E267" l="1"/>
  <c r="F113" l="1"/>
  <c r="E153"/>
  <c r="E168"/>
  <c r="E167" s="1"/>
  <c r="E163"/>
  <c r="F163" s="1"/>
  <c r="E165"/>
  <c r="F164"/>
  <c r="E160"/>
  <c r="F160" s="1"/>
  <c r="E158"/>
  <c r="F161"/>
  <c r="E156"/>
  <c r="E67"/>
  <c r="E79"/>
  <c r="E74"/>
  <c r="F73"/>
  <c r="F71"/>
  <c r="E65" l="1"/>
  <c r="E162"/>
  <c r="D265"/>
  <c r="D268"/>
  <c r="D212"/>
  <c r="D211"/>
  <c r="D204"/>
  <c r="D203"/>
  <c r="D192"/>
  <c r="D191"/>
  <c r="D198"/>
  <c r="D197"/>
  <c r="D190"/>
  <c r="D189"/>
  <c r="D149"/>
  <c r="D112"/>
  <c r="D109"/>
  <c r="D106"/>
  <c r="D102"/>
  <c r="D59"/>
  <c r="E177"/>
  <c r="E178"/>
  <c r="F178" s="1"/>
  <c r="E180"/>
  <c r="F179"/>
  <c r="E87"/>
  <c r="E187"/>
  <c r="E184" s="1"/>
  <c r="E92"/>
  <c r="F92" s="1"/>
  <c r="F93"/>
  <c r="D87"/>
  <c r="F87" s="1"/>
  <c r="F88"/>
  <c r="F89"/>
  <c r="F85"/>
  <c r="E123"/>
  <c r="E125"/>
  <c r="F100"/>
  <c r="E122" l="1"/>
  <c r="E82"/>
  <c r="E186"/>
  <c r="E185" s="1"/>
  <c r="E183" s="1"/>
  <c r="E176"/>
  <c r="F172"/>
  <c r="E173"/>
  <c r="E264" s="1"/>
  <c r="F174"/>
  <c r="E171"/>
  <c r="E170" s="1"/>
  <c r="E152" s="1"/>
  <c r="F173" l="1"/>
  <c r="D171"/>
  <c r="D170" s="1"/>
  <c r="F170" s="1"/>
  <c r="F171" l="1"/>
  <c r="E216" l="1"/>
  <c r="F216" s="1"/>
  <c r="E222"/>
  <c r="E221"/>
  <c r="E219"/>
  <c r="E218" s="1"/>
  <c r="E217" s="1"/>
  <c r="E212"/>
  <c r="E211" s="1"/>
  <c r="E214"/>
  <c r="E213" s="1"/>
  <c r="E209"/>
  <c r="E207"/>
  <c r="E261"/>
  <c r="E259" s="1"/>
  <c r="E220" l="1"/>
  <c r="E215"/>
  <c r="F215" s="1"/>
  <c r="F217" l="1"/>
  <c r="F218"/>
  <c r="E223"/>
  <c r="F223" s="1"/>
  <c r="F224"/>
  <c r="F214"/>
  <c r="F213"/>
  <c r="E206"/>
  <c r="E204" s="1"/>
  <c r="E205"/>
  <c r="F208"/>
  <c r="F209"/>
  <c r="F210"/>
  <c r="F207"/>
  <c r="E98"/>
  <c r="E120"/>
  <c r="E117"/>
  <c r="E116"/>
  <c r="E115" s="1"/>
  <c r="E119"/>
  <c r="E118" s="1"/>
  <c r="E114"/>
  <c r="E203" l="1"/>
  <c r="E110"/>
  <c r="E109" s="1"/>
  <c r="F205"/>
  <c r="F206"/>
  <c r="F120"/>
  <c r="F111"/>
  <c r="D118"/>
  <c r="F114"/>
  <c r="F77" l="1"/>
  <c r="F76"/>
  <c r="F75"/>
  <c r="F117"/>
  <c r="D115"/>
  <c r="F66"/>
  <c r="F261"/>
  <c r="E260"/>
  <c r="D257"/>
  <c r="D125"/>
  <c r="F125" s="1"/>
  <c r="D123"/>
  <c r="F126"/>
  <c r="F123"/>
  <c r="F124"/>
  <c r="F122"/>
  <c r="D121"/>
  <c r="F181"/>
  <c r="F180"/>
  <c r="F177"/>
  <c r="F176"/>
  <c r="D175"/>
  <c r="F86"/>
  <c r="F84"/>
  <c r="F83"/>
  <c r="E81"/>
  <c r="D81"/>
  <c r="F186"/>
  <c r="F187"/>
  <c r="F185"/>
  <c r="F184"/>
  <c r="F183"/>
  <c r="D182"/>
  <c r="F148"/>
  <c r="F146"/>
  <c r="F147"/>
  <c r="F260" l="1"/>
  <c r="E258"/>
  <c r="E144"/>
  <c r="E128" s="1"/>
  <c r="E121"/>
  <c r="F121" s="1"/>
  <c r="E175"/>
  <c r="F175" s="1"/>
  <c r="F81"/>
  <c r="F82"/>
  <c r="E182"/>
  <c r="F182" s="1"/>
  <c r="D127"/>
  <c r="F128" l="1"/>
  <c r="F144"/>
  <c r="F230"/>
  <c r="F229"/>
  <c r="E228"/>
  <c r="F228" s="1"/>
  <c r="D225"/>
  <c r="F243"/>
  <c r="F242"/>
  <c r="E241"/>
  <c r="F241" s="1"/>
  <c r="D238"/>
  <c r="E236"/>
  <c r="F236" s="1"/>
  <c r="F237"/>
  <c r="F235"/>
  <c r="E234"/>
  <c r="F234" s="1"/>
  <c r="D231"/>
  <c r="E247"/>
  <c r="F247" s="1"/>
  <c r="F248"/>
  <c r="D244"/>
  <c r="F63"/>
  <c r="F62"/>
  <c r="E190"/>
  <c r="D200"/>
  <c r="D199" s="1"/>
  <c r="E200"/>
  <c r="E199" s="1"/>
  <c r="E197"/>
  <c r="F198"/>
  <c r="F197"/>
  <c r="E195"/>
  <c r="F195" s="1"/>
  <c r="F196"/>
  <c r="E193"/>
  <c r="F193" s="1"/>
  <c r="F201"/>
  <c r="F194"/>
  <c r="E191"/>
  <c r="F192"/>
  <c r="E107"/>
  <c r="F107" s="1"/>
  <c r="E106"/>
  <c r="E105" s="1"/>
  <c r="D105"/>
  <c r="F104"/>
  <c r="E103"/>
  <c r="F103" s="1"/>
  <c r="D101"/>
  <c r="E150" l="1"/>
  <c r="E268" s="1"/>
  <c r="E127"/>
  <c r="F127" s="1"/>
  <c r="F190"/>
  <c r="E240"/>
  <c r="F240" s="1"/>
  <c r="E227"/>
  <c r="F200"/>
  <c r="F105"/>
  <c r="E189"/>
  <c r="E246"/>
  <c r="E233"/>
  <c r="E232" s="1"/>
  <c r="E102"/>
  <c r="F102" s="1"/>
  <c r="F199"/>
  <c r="F106"/>
  <c r="E239" l="1"/>
  <c r="F227"/>
  <c r="E226"/>
  <c r="E245"/>
  <c r="F246"/>
  <c r="F233"/>
  <c r="E101"/>
  <c r="F101" s="1"/>
  <c r="F239" l="1"/>
  <c r="E238"/>
  <c r="F238" s="1"/>
  <c r="F226"/>
  <c r="E225"/>
  <c r="F225" s="1"/>
  <c r="F245"/>
  <c r="E244"/>
  <c r="F244" s="1"/>
  <c r="F232"/>
  <c r="E231"/>
  <c r="F231" s="1"/>
  <c r="F222" l="1"/>
  <c r="F221"/>
  <c r="F220"/>
  <c r="F212" l="1"/>
  <c r="F110"/>
  <c r="F211" l="1"/>
  <c r="F80" l="1"/>
  <c r="F67"/>
  <c r="F99"/>
  <c r="F72"/>
  <c r="F169"/>
  <c r="F162"/>
  <c r="D188"/>
  <c r="F119"/>
  <c r="D108"/>
  <c r="F79" l="1"/>
  <c r="E265"/>
  <c r="F259" s="1"/>
  <c r="F118"/>
  <c r="F168" l="1"/>
  <c r="F167"/>
  <c r="F191" l="1"/>
  <c r="F189" l="1"/>
  <c r="E188"/>
  <c r="F188" s="1"/>
  <c r="F219" l="1"/>
  <c r="F78" l="1"/>
  <c r="F74"/>
  <c r="F68"/>
  <c r="F70" l="1"/>
  <c r="D151" l="1"/>
  <c r="F258" l="1"/>
  <c r="E257"/>
  <c r="E108"/>
  <c r="F115"/>
  <c r="E97"/>
  <c r="D96"/>
  <c r="F257" l="1"/>
  <c r="F108"/>
  <c r="E96"/>
  <c r="F97"/>
  <c r="F96"/>
  <c r="F98"/>
  <c r="F116" l="1"/>
  <c r="F112"/>
  <c r="F109" l="1"/>
  <c r="E64" l="1"/>
  <c r="D64"/>
  <c r="F64" l="1"/>
  <c r="F65"/>
  <c r="F61" l="1"/>
  <c r="E60"/>
  <c r="E59" s="1"/>
  <c r="F60" l="1"/>
  <c r="F157" l="1"/>
  <c r="F166"/>
  <c r="F159"/>
  <c r="F158"/>
  <c r="F165" l="1"/>
  <c r="F156"/>
  <c r="E151"/>
  <c r="F152"/>
  <c r="F151" l="1"/>
  <c r="F204" l="1"/>
  <c r="D202"/>
  <c r="F203" l="1"/>
  <c r="E202" l="1"/>
  <c r="E149" s="1"/>
  <c r="F149" l="1"/>
  <c r="F202"/>
  <c r="F153"/>
  <c r="E266" l="1"/>
  <c r="D263" l="1"/>
  <c r="D266"/>
  <c r="F267"/>
  <c r="D262"/>
  <c r="F268"/>
  <c r="F265"/>
  <c r="F266" l="1"/>
  <c r="F150" l="1"/>
  <c r="F59" l="1"/>
  <c r="E262" l="1"/>
  <c r="F262" l="1"/>
  <c r="E263"/>
  <c r="F263" s="1"/>
  <c r="F264"/>
</calcChain>
</file>

<file path=xl/sharedStrings.xml><?xml version="1.0" encoding="utf-8"?>
<sst xmlns="http://schemas.openxmlformats.org/spreadsheetml/2006/main" count="490" uniqueCount="318">
  <si>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</si>
  <si>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</si>
  <si>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</si>
  <si>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</si>
  <si>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</si>
  <si>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</si>
  <si>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</si>
  <si>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</si>
  <si>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</si>
  <si>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</si>
  <si>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</si>
  <si>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</si>
  <si>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</si>
  <si>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</si>
  <si>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</si>
  <si>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 xml:space="preserve">Керуюча справами виконкому </t>
  </si>
  <si>
    <t xml:space="preserve">Проект унесення змін до показників міського бюджету на 2018 рік </t>
  </si>
  <si>
    <t xml:space="preserve">Затверджено на 2018 рік </t>
  </si>
  <si>
    <t>Уточнені показники на 2018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</si>
  <si>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01.01.2018</t>
  </si>
  <si>
    <t xml:space="preserve"> - дефіцит за рахунок розподілу залишків коштів, що склалися на рахунках спеціального фонду міського бюджету станом на 01.01.2018</t>
  </si>
  <si>
    <t>Т.Мала</t>
  </si>
  <si>
    <t xml:space="preserve">             Додаток</t>
  </si>
  <si>
    <t>0600000</t>
  </si>
  <si>
    <t>Управління освіти і науки виконкому Криворізької міської ради</t>
  </si>
  <si>
    <t>0610000</t>
  </si>
  <si>
    <t>0611160</t>
  </si>
  <si>
    <t>Інші програми, заклади та заходи у сфері освіти</t>
  </si>
  <si>
    <t>0611162</t>
  </si>
  <si>
    <t>1162</t>
  </si>
  <si>
    <t>Інші програми та заходи у сфері освіти</t>
  </si>
  <si>
    <t>0611020</t>
  </si>
  <si>
    <t>1020</t>
  </si>
  <si>
    <t>Надання загальної середньої освіти загальноосвітніми навчальними закладами ( в т. ч. школою-дитячим садком, інтернатом при школі), спеціалізованими школами, ліцеями, гімназіями, колегіумами</t>
  </si>
  <si>
    <t>Управління благоустрою та житлової політики виконкому Криворізької міської ради</t>
  </si>
  <si>
    <t>1200000</t>
  </si>
  <si>
    <t>1210000</t>
  </si>
  <si>
    <t>1216030</t>
  </si>
  <si>
    <t>6030</t>
  </si>
  <si>
    <t>Організація благоустрою населених пунктів</t>
  </si>
  <si>
    <t>Інші заклади та заходи</t>
  </si>
  <si>
    <t>Забезпечення діяльності інших закладів у сфері соціального захисту і соціального забезпечення</t>
  </si>
  <si>
    <t>з них оплата праці</t>
  </si>
  <si>
    <t xml:space="preserve">комунальні послуги та енергоносії </t>
  </si>
  <si>
    <t xml:space="preserve">з них комунальні послуги та енергоносії </t>
  </si>
  <si>
    <t>0611010</t>
  </si>
  <si>
    <t>1010</t>
  </si>
  <si>
    <t>Надання дошкільної освіти</t>
  </si>
  <si>
    <t>Доходи загального та спеціального фондів разом:</t>
  </si>
  <si>
    <t>0800000</t>
  </si>
  <si>
    <t>0810000</t>
  </si>
  <si>
    <t>Департамент соціальної політики виконкому Криворізької міської ради</t>
  </si>
  <si>
    <t>1217460</t>
  </si>
  <si>
    <t>7460</t>
  </si>
  <si>
    <t>7461</t>
  </si>
  <si>
    <t>1217461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</si>
  <si>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</si>
  <si>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</si>
  <si>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1217690</t>
  </si>
  <si>
    <t>7690</t>
  </si>
  <si>
    <t>7693</t>
  </si>
  <si>
    <t>1217693</t>
  </si>
  <si>
    <t>Інша економічна діяльність</t>
  </si>
  <si>
    <t>Інші заходи, пов'язані з економічною діяльністю</t>
  </si>
  <si>
    <t>Управління культури виконкому Криворізької міської ради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</si>
  <si>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</si>
  <si>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 тому числі видатки споживання</t>
  </si>
  <si>
    <t>0611090</t>
  </si>
  <si>
    <t>1090</t>
  </si>
  <si>
    <t>Надання позашкільної освіти позашкільними закладами освіти, заходи із позашкільної роботи з дітьми</t>
  </si>
  <si>
    <t>1160</t>
  </si>
  <si>
    <t>5030</t>
  </si>
  <si>
    <t>5031</t>
  </si>
  <si>
    <t>0615031</t>
  </si>
  <si>
    <t>0615030</t>
  </si>
  <si>
    <t>Розвиток дитячо-юнацького та резервного спорту</t>
  </si>
  <si>
    <t>Утримання та навчально-тренувальна робота комунальних дитячо-юнацьких спортивних шкіл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</si>
  <si>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</si>
  <si>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3030</t>
  </si>
  <si>
    <t>0813030</t>
  </si>
  <si>
    <t>10000000</t>
  </si>
  <si>
    <t>1010000</t>
  </si>
  <si>
    <t>Утримання та ефективна експлуатація об’єктів житлово-комунального господарства</t>
  </si>
  <si>
    <t>1216010</t>
  </si>
  <si>
    <t>6010</t>
  </si>
  <si>
    <t>Природоохоронні заходи за рахунок цільових фондів</t>
  </si>
  <si>
    <t>8340</t>
  </si>
  <si>
    <t>1218340</t>
  </si>
  <si>
    <t>видатки розвитку</t>
  </si>
  <si>
    <t>1000000</t>
  </si>
  <si>
    <t>1011110</t>
  </si>
  <si>
    <t>1110</t>
  </si>
  <si>
    <t>Надання спеціальної освіти школами естетичного виховання (музичними, художніми, хореографічними, театраль-ними, хоровими, мистецькими)</t>
  </si>
  <si>
    <t>1014060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</si>
  <si>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</si>
  <si>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</si>
  <si>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1014080</t>
  </si>
  <si>
    <t>1014082</t>
  </si>
  <si>
    <t>4082</t>
  </si>
  <si>
    <t>4080</t>
  </si>
  <si>
    <t>Інші заклади та заходи в галузі культури і мистецтва</t>
  </si>
  <si>
    <t>Інші заходи в галузі культури і мистецтва</t>
  </si>
  <si>
    <t>1018410</t>
  </si>
  <si>
    <t>8410</t>
  </si>
  <si>
    <t>Фінансова підтримка засобів масової інформації</t>
  </si>
  <si>
    <t>1011100</t>
  </si>
  <si>
    <t>1100</t>
  </si>
  <si>
    <t>1014030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</si>
  <si>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</si>
  <si>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</si>
  <si>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</si>
  <si>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</si>
  <si>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</si>
  <si>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Будівництво об'єктів соціально-культурного призначення</t>
  </si>
  <si>
    <r>
      <t>Будівництво</t>
    </r>
    <r>
      <rPr>
        <i/>
        <sz val="14"/>
        <rFont val="Times New Roman"/>
        <family val="1"/>
        <charset val="204"/>
      </rPr>
      <t xml:space="preserve"> установ та закладів культури</t>
    </r>
  </si>
  <si>
    <t>1017320</t>
  </si>
  <si>
    <t>7320</t>
  </si>
  <si>
    <t>7324</t>
  </si>
  <si>
    <t>1017324</t>
  </si>
  <si>
    <t>Виконавчий комітет Криворізької міської ради</t>
  </si>
  <si>
    <t>0200000</t>
  </si>
  <si>
    <t>0210000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</si>
  <si>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</si>
  <si>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0210160</t>
  </si>
  <si>
    <t>0160</t>
  </si>
  <si>
    <t>1600000</t>
  </si>
  <si>
    <t>1610000</t>
  </si>
  <si>
    <t>Управління містобудування, архітектури та земельних відносин виконкому Криворізької міської ради</t>
  </si>
  <si>
    <t>1617690</t>
  </si>
  <si>
    <t>1617691</t>
  </si>
  <si>
    <t>1500000</t>
  </si>
  <si>
    <t>1510000</t>
  </si>
  <si>
    <t>Управління капітального будівництва виконкому Криворізької міської ради</t>
  </si>
  <si>
    <t>1517690</t>
  </si>
  <si>
    <t>1517691</t>
  </si>
  <si>
    <t>у тому числі видатки розвитку</t>
  </si>
  <si>
    <t>1700000</t>
  </si>
  <si>
    <t>1710000</t>
  </si>
  <si>
    <t>1717690</t>
  </si>
  <si>
    <t>1717691</t>
  </si>
  <si>
    <t>1400000</t>
  </si>
  <si>
    <t>1410000</t>
  </si>
  <si>
    <t>1417690</t>
  </si>
  <si>
    <t>1417691</t>
  </si>
  <si>
    <t>Інспекція з благоустрою виконкому Криворізької міської ради</t>
  </si>
  <si>
    <t>Фінансове управління виконкому Криворізької міської ради</t>
  </si>
  <si>
    <t>Інші дотації з місцевого бюджету</t>
  </si>
  <si>
    <t>Металургійної</t>
  </si>
  <si>
    <t>Довгинцівської</t>
  </si>
  <si>
    <t>Покровської</t>
  </si>
  <si>
    <t>Інгулецької</t>
  </si>
  <si>
    <t>Саксаганської</t>
  </si>
  <si>
    <t>Тернівської</t>
  </si>
  <si>
    <t>Центрально-Міської</t>
  </si>
  <si>
    <t>Компенсаційні виплати за пільговий проїзд окремих категорій громадян на залізничному транспорті</t>
  </si>
  <si>
    <t>0813035</t>
  </si>
  <si>
    <t>3035</t>
  </si>
  <si>
    <t>0813240</t>
  </si>
  <si>
    <t>0700000</t>
  </si>
  <si>
    <t>Управління охорони  здоров'я виконкому Криворізької міської ради</t>
  </si>
  <si>
    <t>0710000</t>
  </si>
  <si>
    <t xml:space="preserve">Багатопрофільна стаціонарна медична допомога населенню </t>
  </si>
  <si>
    <t>2010</t>
  </si>
  <si>
    <t>0712010</t>
  </si>
  <si>
    <t>Лікарсько-акушерська допомога  вагітним, породіллям та новонародженим</t>
  </si>
  <si>
    <t>2030</t>
  </si>
  <si>
    <t>0712030</t>
  </si>
  <si>
    <t xml:space="preserve">Стоматологічна допомога населенню </t>
  </si>
  <si>
    <t>2100</t>
  </si>
  <si>
    <t>0712100</t>
  </si>
  <si>
    <t xml:space="preserve">Відділ транспорту і зв'язку виконкому Криворізької міської ради </t>
  </si>
  <si>
    <t>1900000</t>
  </si>
  <si>
    <t>1910000</t>
  </si>
  <si>
    <t>Забезпечення надання послуг з перевезення пасажирів електротранспортом</t>
  </si>
  <si>
    <t>Забезпечення надання послуг з перевезення пасажирів автомобільним транспортом</t>
  </si>
  <si>
    <t>Інші заходи у сфері автотранспорту</t>
  </si>
  <si>
    <t>1917410</t>
  </si>
  <si>
    <t>7410</t>
  </si>
  <si>
    <t>7413</t>
  </si>
  <si>
    <t>1917413</t>
  </si>
  <si>
    <t>7426</t>
  </si>
  <si>
    <t>1917426</t>
  </si>
  <si>
    <t>1917420</t>
  </si>
  <si>
    <t>7420</t>
  </si>
  <si>
    <t>Інші заходи у сфері електротранспорту</t>
  </si>
  <si>
    <t>Управління екології виконкому Криворізької міської ради</t>
  </si>
  <si>
    <t>2819800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</si>
  <si>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</si>
  <si>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</si>
  <si>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7640</t>
  </si>
  <si>
    <t>1217640</t>
  </si>
  <si>
    <t>Заходи з енергозбереження</t>
  </si>
  <si>
    <t xml:space="preserve">Забезпечення діяльності інших закладів у сфері освіти </t>
  </si>
  <si>
    <t>1161</t>
  </si>
  <si>
    <t>0611161</t>
  </si>
  <si>
    <t>1216090</t>
  </si>
  <si>
    <t>6090</t>
  </si>
  <si>
    <t>Інша діяльність у сфері житлово-комунального господарства</t>
  </si>
  <si>
    <t>1216016</t>
  </si>
  <si>
    <t>6016</t>
  </si>
  <si>
    <t>Впровадження засобів обліку витрат та регулювання споживання води та теплової енергії</t>
  </si>
  <si>
    <t>1219770</t>
  </si>
  <si>
    <t>9770</t>
  </si>
  <si>
    <t>Інші субвенції з місцевого бюджету, у тому числі субвенція з міського бюджету районним у місті бюджетам на фінансування проектів-переможців конкурсу місцевого розвитку "Громадський бюджет" у 2018 році</t>
  </si>
  <si>
    <t>1216015</t>
  </si>
  <si>
    <t>6015</t>
  </si>
  <si>
    <t>Забезпечення надійної та безперебійної експлуатації ліфтів</t>
  </si>
  <si>
    <t>7363</t>
  </si>
  <si>
    <t>Виконання інвестиційних проектів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</si>
  <si>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</si>
  <si>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1217670</t>
  </si>
  <si>
    <t>7670</t>
  </si>
  <si>
    <t>Внески до статутного капіталу суб’єктів господарювання</t>
  </si>
  <si>
    <t>0617360</t>
  </si>
  <si>
    <t>0617363</t>
  </si>
  <si>
    <t>з них за рахунок залишку коштів субвенції з державного бюджету місцевим бюджетам на здійснення заходів щодо соціально-економічного розвитку окремих територій станом на 01.01.2018</t>
  </si>
  <si>
    <t xml:space="preserve"> субвенції з державного бюджету місцевим бюджетам на здійснення заходів щодо соціально-економічного розвитку окремих територій </t>
  </si>
  <si>
    <t>0813036</t>
  </si>
  <si>
    <t>3036</t>
  </si>
  <si>
    <t>Компенсаційні виплати на пільговий проїзд електротранспортом окремим категоріям громадян</t>
  </si>
  <si>
    <t>0712080</t>
  </si>
  <si>
    <t>2080</t>
  </si>
  <si>
    <t>Амбулаторно-поліклінічна допомога населенню, крім первинної медичної допомоги</t>
  </si>
  <si>
    <t>0712120</t>
  </si>
  <si>
    <t>2120</t>
  </si>
  <si>
    <t>0712110</t>
  </si>
  <si>
    <t>2110</t>
  </si>
  <si>
    <t>0712111</t>
  </si>
  <si>
    <t>2111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</si>
  <si>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</si>
  <si>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</si>
  <si>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 xml:space="preserve">Інформаційно-методичне та просвітницьке забезпечення в галузі охорони здоров'я </t>
  </si>
  <si>
    <t xml:space="preserve">Інші субвенції з місцевого бюджету, у тому числі: </t>
  </si>
  <si>
    <t>0719770</t>
  </si>
  <si>
    <t>субвенція з міського бюджету обласному бюджету на поточний ремонт санітарних автомобілів КЗ "Криворізька станція швидкої медичної допомоги" ДОР"</t>
  </si>
  <si>
    <t>0813241</t>
  </si>
  <si>
    <t>0611150</t>
  </si>
  <si>
    <t>1150</t>
  </si>
  <si>
    <t xml:space="preserve">Методичне забезпечення діяльності навчальних закладів </t>
  </si>
  <si>
    <t>Доходи загального фонду разом: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</si>
  <si>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</si>
  <si>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</si>
  <si>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 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</si>
  <si>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</si>
  <si>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</si>
  <si>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</si>
  <si>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</si>
  <si>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11010900</t>
  </si>
  <si>
    <t xml:space="preserve"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  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</si>
  <si>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</si>
  <si>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</si>
  <si>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r>
      <t>13000000</t>
    </r>
    <r>
      <rPr>
        <b/>
        <sz val="14"/>
        <color indexed="8"/>
        <rFont val="Times New Roman"/>
        <family val="1"/>
        <charset val="204"/>
      </rPr>
      <t> </t>
    </r>
  </si>
  <si>
    <t>Рентна плата  та плата за використання інших природних ресурсів</t>
  </si>
  <si>
    <r>
      <t>13010000</t>
    </r>
    <r>
      <rPr>
        <sz val="12"/>
        <rFont val="Times New Roman"/>
        <family val="1"/>
        <charset val="204"/>
      </rPr>
      <t> </t>
    </r>
  </si>
  <si>
    <r>
      <t>Рентна плата за спеціальне використання лісових ресурсів</t>
    </r>
    <r>
      <rPr>
        <sz val="12"/>
        <rFont val="Times New Roman"/>
        <family val="1"/>
        <charset val="204"/>
      </rPr>
      <t> </t>
    </r>
  </si>
  <si>
    <t>Рентна плата за спеціальне використання лісових ресурсів 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</si>
  <si>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Місцеві податки </t>
  </si>
  <si>
    <t>Єдиний податок</t>
  </si>
  <si>
    <t>Єдиний податок з фізичних осіб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</si>
  <si>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</si>
  <si>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</si>
  <si>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</si>
  <si>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</si>
  <si>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</si>
  <si>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</si>
  <si>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</si>
  <si>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осіб-підприємців та громадських формувань</t>
  </si>
  <si>
    <t>22012500 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</si>
  <si>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</si>
  <si>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</si>
  <si>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 xml:space="preserve">Державне мито </t>
  </si>
  <si>
    <t>22090100 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</si>
  <si>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 </t>
  </si>
  <si>
    <t>22090400</t>
  </si>
  <si>
    <t>Державне мито, пов'язане з видачею та оформленням закордонних паспортів (посвідок) та паспортів громадян України </t>
  </si>
  <si>
    <t>Доходи від операцій з капіталом</t>
  </si>
  <si>
    <t xml:space="preserve">Надходження від продажу основного капіталу 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</si>
  <si>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</si>
  <si>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 </t>
  </si>
  <si>
    <t xml:space="preserve">Від органів державного управління 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</si>
  <si>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</si>
  <si>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</si>
  <si>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Доходи спеціального фонду разом: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</si>
  <si>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</si>
  <si>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</si>
  <si>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</si>
  <si>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</si>
  <si>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t>Надходження від розміщення відходів у спеціально відведених для цього місцях чи на об’єктах, крім розміщення окремих видів відходів як вторинної сировини</t>
  </si>
  <si>
    <t>Кошти від відчуження майна, що належить Автономній Республіці Крим та майна, що перебуває в комунальній власності </t>
  </si>
  <si>
    <t>Інші  програми, заклади та заходи у сфері охорони здоров’я</t>
  </si>
  <si>
    <t>Інші програми та заходи у сфері охорони здоров’я</t>
  </si>
  <si>
    <t>0712150</t>
  </si>
  <si>
    <t>2150</t>
  </si>
  <si>
    <t>2152</t>
  </si>
  <si>
    <t>0712152</t>
  </si>
  <si>
    <t>0713240</t>
  </si>
  <si>
    <t>3240</t>
  </si>
  <si>
    <t>0713242</t>
  </si>
  <si>
    <t>3242</t>
  </si>
  <si>
    <t>Інші заходи у сфері соціального захисту і соціального забезпечення</t>
  </si>
  <si>
    <t>3719510</t>
  </si>
  <si>
    <t>9510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</si>
  <si>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</si>
  <si>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21010300</t>
  </si>
  <si>
    <t>Субвенції з державного бюджету місцевим бюджетам</t>
  </si>
  <si>
    <t xml:space="preserve">Офіційні трансферти 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</si>
  <si>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</t>
  </si>
  <si>
    <t>9230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</si>
  <si>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віку, за рахунок відповідної субвенції з державного бюджету </t>
  </si>
  <si>
    <t>41050300</t>
  </si>
  <si>
    <t>41050000</t>
  </si>
  <si>
    <t>Субвенції з місцевих бюджетів іншим місцевим бюджетам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</si>
  <si>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 </t>
  </si>
  <si>
    <t>1917670</t>
  </si>
  <si>
    <t>Відділ з питань державного архітектурно-будівельного контролю виконкому Криворізької міської ради</t>
  </si>
  <si>
    <t>7360</t>
  </si>
  <si>
    <t>у тому числі за бюджетами районних у місті рад</t>
  </si>
  <si>
    <t xml:space="preserve">                            18.07.2018 №342</t>
  </si>
</sst>
</file>

<file path=xl/styles.xml><?xml version="1.0" encoding="utf-8"?>
<styleSheet xmlns="http://schemas.openxmlformats.org/spreadsheetml/2006/main">
  <numFmts count="1">
    <numFmt numFmtId="164" formatCode="0.000"/>
  </numFmts>
  <fonts count="28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3" fillId="0" borderId="0" xfId="0" applyFont="1"/>
    <xf numFmtId="49" fontId="2" fillId="3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" fontId="23" fillId="0" borderId="0" xfId="0" applyNumberFormat="1" applyFont="1"/>
    <xf numFmtId="4" fontId="0" fillId="0" borderId="0" xfId="0" applyNumberFormat="1"/>
    <xf numFmtId="4" fontId="0" fillId="0" borderId="0" xfId="0" applyNumberFormat="1" applyFill="1"/>
    <xf numFmtId="0" fontId="4" fillId="0" borderId="3" xfId="0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/>
    <xf numFmtId="0" fontId="5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3" fillId="4" borderId="10" xfId="0" applyNumberFormat="1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4" fontId="3" fillId="4" borderId="10" xfId="0" applyNumberFormat="1" applyFont="1" applyFill="1" applyBorder="1" applyAlignment="1">
      <alignment horizontal="center" vertical="center"/>
    </xf>
    <xf numFmtId="4" fontId="4" fillId="4" borderId="10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5" fillId="4" borderId="10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4" fontId="4" fillId="5" borderId="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4" fillId="4" borderId="10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4"/>
  <sheetViews>
    <sheetView tabSelected="1" view="pageBreakPreview" zoomScale="89" zoomScaleNormal="87" zoomScaleSheetLayoutView="89" workbookViewId="0">
      <selection activeCell="F12" sqref="F12"/>
    </sheetView>
  </sheetViews>
  <sheetFormatPr defaultRowHeight="12.75"/>
  <cols>
    <col min="1" max="1" width="15.7109375" customWidth="1"/>
    <col min="2" max="2" width="14.140625" customWidth="1"/>
    <col min="3" max="3" width="44.85546875" customWidth="1"/>
    <col min="4" max="4" width="21.7109375" customWidth="1"/>
    <col min="5" max="5" width="19" customWidth="1"/>
    <col min="6" max="6" width="20.42578125" customWidth="1"/>
    <col min="7" max="7" width="29.14062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26.45" customHeight="1">
      <c r="A1" s="5"/>
      <c r="B1" s="5"/>
      <c r="C1" s="5"/>
      <c r="D1" s="52" t="s">
        <v>22</v>
      </c>
      <c r="E1" s="51"/>
      <c r="F1" s="33"/>
      <c r="G1" s="20"/>
    </row>
    <row r="2" spans="1:8" ht="24.75" customHeight="1">
      <c r="A2" s="5"/>
      <c r="B2" s="5"/>
      <c r="C2" s="5"/>
      <c r="D2" s="52" t="s">
        <v>12</v>
      </c>
      <c r="E2" s="35"/>
      <c r="F2" s="34"/>
      <c r="G2" s="21"/>
    </row>
    <row r="3" spans="1:8" ht="18.75" customHeight="1">
      <c r="A3" s="5"/>
      <c r="B3" s="5"/>
      <c r="C3" s="5"/>
      <c r="D3" s="21" t="s">
        <v>317</v>
      </c>
      <c r="E3" s="20"/>
      <c r="F3" s="21"/>
      <c r="G3" s="21"/>
    </row>
    <row r="4" spans="1:8" ht="26.25" customHeight="1">
      <c r="A4" s="138" t="s">
        <v>16</v>
      </c>
      <c r="B4" s="138"/>
      <c r="C4" s="139"/>
      <c r="D4" s="139"/>
      <c r="E4" s="139"/>
      <c r="F4" s="139"/>
      <c r="G4" s="17"/>
      <c r="H4" s="1"/>
    </row>
    <row r="5" spans="1:8" ht="9.75" customHeight="1">
      <c r="A5" s="16"/>
      <c r="B5" s="16"/>
      <c r="C5" s="17"/>
      <c r="D5" s="17"/>
      <c r="E5" s="17"/>
      <c r="F5" s="17"/>
      <c r="G5" s="17"/>
      <c r="H5" s="1"/>
    </row>
    <row r="6" spans="1:8" ht="15" customHeight="1" thickBot="1">
      <c r="A6" s="5"/>
      <c r="B6" s="5"/>
      <c r="C6" s="5"/>
      <c r="D6" s="6"/>
      <c r="E6" s="6"/>
      <c r="F6" s="4" t="s">
        <v>0</v>
      </c>
      <c r="G6" s="4"/>
    </row>
    <row r="7" spans="1:8" ht="45" customHeight="1">
      <c r="A7" s="142" t="s">
        <v>11</v>
      </c>
      <c r="B7" s="142" t="s">
        <v>14</v>
      </c>
      <c r="C7" s="140" t="s">
        <v>1</v>
      </c>
      <c r="D7" s="140" t="s">
        <v>17</v>
      </c>
      <c r="E7" s="140" t="s">
        <v>3</v>
      </c>
      <c r="F7" s="140" t="s">
        <v>18</v>
      </c>
      <c r="G7" s="31"/>
    </row>
    <row r="8" spans="1:8" ht="66" customHeight="1" thickBot="1">
      <c r="A8" s="143" t="s">
        <v>2</v>
      </c>
      <c r="B8" s="143"/>
      <c r="C8" s="141"/>
      <c r="D8" s="141"/>
      <c r="E8" s="141"/>
      <c r="F8" s="141"/>
      <c r="G8" s="31"/>
    </row>
    <row r="9" spans="1:8" ht="18.75" customHeight="1" thickBot="1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31"/>
    </row>
    <row r="10" spans="1:8" ht="29.45" customHeight="1" thickBot="1">
      <c r="A10" s="106"/>
      <c r="B10" s="106"/>
      <c r="C10" s="83" t="s">
        <v>239</v>
      </c>
      <c r="D10" s="49">
        <v>6896828995.4300003</v>
      </c>
      <c r="E10" s="49">
        <f>E11+E26+E38+E42</f>
        <v>142178198</v>
      </c>
      <c r="F10" s="144">
        <f t="shared" ref="F10:F22" si="0">D10+E10</f>
        <v>7039007193.4300003</v>
      </c>
      <c r="G10" s="31"/>
    </row>
    <row r="11" spans="1:8" ht="30.6" customHeight="1">
      <c r="A11" s="87"/>
      <c r="B11" s="87">
        <v>10000000</v>
      </c>
      <c r="C11" s="88" t="s">
        <v>240</v>
      </c>
      <c r="D11" s="120">
        <v>3636748674</v>
      </c>
      <c r="E11" s="145">
        <f>+E12+E23+E20</f>
        <v>137506998</v>
      </c>
      <c r="F11" s="145">
        <f t="shared" si="0"/>
        <v>3774255672</v>
      </c>
      <c r="G11" s="31"/>
    </row>
    <row r="12" spans="1:8" ht="35.450000000000003" customHeight="1">
      <c r="A12" s="103"/>
      <c r="B12" s="65">
        <v>11000000</v>
      </c>
      <c r="C12" s="95" t="s">
        <v>241</v>
      </c>
      <c r="D12" s="46">
        <f>D13+D18</f>
        <v>2192692774</v>
      </c>
      <c r="E12" s="148">
        <f>+E13+E19</f>
        <v>119409598</v>
      </c>
      <c r="F12" s="146">
        <f>D12+E12</f>
        <v>2312102372</v>
      </c>
      <c r="G12" s="31"/>
    </row>
    <row r="13" spans="1:8" ht="35.450000000000003" customHeight="1">
      <c r="A13" s="103"/>
      <c r="B13" s="68">
        <v>11010000</v>
      </c>
      <c r="C13" s="98" t="s">
        <v>242</v>
      </c>
      <c r="D13" s="67">
        <v>2191342774</v>
      </c>
      <c r="E13" s="149">
        <f>E14+E17+E15+E16</f>
        <v>115109598</v>
      </c>
      <c r="F13" s="147">
        <f>D13+E13</f>
        <v>2306452372</v>
      </c>
      <c r="G13" s="31"/>
    </row>
    <row r="14" spans="1:8" ht="69" customHeight="1">
      <c r="A14" s="103"/>
      <c r="B14" s="68">
        <v>11010100</v>
      </c>
      <c r="C14" s="98" t="s">
        <v>243</v>
      </c>
      <c r="D14" s="67">
        <v>2078982774</v>
      </c>
      <c r="E14" s="147">
        <f>112452600+866998</f>
        <v>113319598</v>
      </c>
      <c r="F14" s="147">
        <f t="shared" si="0"/>
        <v>2192302372</v>
      </c>
      <c r="G14" s="31"/>
    </row>
    <row r="15" spans="1:8" ht="127.15" customHeight="1">
      <c r="A15" s="103"/>
      <c r="B15" s="68">
        <v>11010200</v>
      </c>
      <c r="C15" s="98" t="s">
        <v>244</v>
      </c>
      <c r="D15" s="67">
        <v>64900000</v>
      </c>
      <c r="E15" s="67">
        <v>4000000</v>
      </c>
      <c r="F15" s="67">
        <f t="shared" si="0"/>
        <v>68900000</v>
      </c>
      <c r="G15" s="31"/>
    </row>
    <row r="16" spans="1:8" ht="61.9" customHeight="1">
      <c r="A16" s="103"/>
      <c r="B16" s="68" t="s">
        <v>245</v>
      </c>
      <c r="C16" s="98" t="s">
        <v>246</v>
      </c>
      <c r="D16" s="67">
        <v>17600000</v>
      </c>
      <c r="E16" s="67">
        <v>-1650000</v>
      </c>
      <c r="F16" s="67">
        <f t="shared" si="0"/>
        <v>15950000</v>
      </c>
      <c r="G16" s="31"/>
    </row>
    <row r="17" spans="1:7" ht="113.45" customHeight="1">
      <c r="A17" s="103"/>
      <c r="B17" s="68" t="s">
        <v>247</v>
      </c>
      <c r="C17" s="98" t="s">
        <v>248</v>
      </c>
      <c r="D17" s="67">
        <v>560000</v>
      </c>
      <c r="E17" s="67">
        <v>-560000</v>
      </c>
      <c r="F17" s="67">
        <f t="shared" si="0"/>
        <v>0</v>
      </c>
      <c r="G17" s="31"/>
    </row>
    <row r="18" spans="1:7" ht="30.6" customHeight="1">
      <c r="A18" s="103"/>
      <c r="B18" s="65">
        <v>11020000</v>
      </c>
      <c r="C18" s="95" t="s">
        <v>249</v>
      </c>
      <c r="D18" s="46">
        <f>D19</f>
        <v>1350000</v>
      </c>
      <c r="E18" s="124">
        <f>E19</f>
        <v>4300000</v>
      </c>
      <c r="F18" s="46">
        <f t="shared" si="0"/>
        <v>5650000</v>
      </c>
      <c r="G18" s="31"/>
    </row>
    <row r="19" spans="1:7" ht="55.15" customHeight="1">
      <c r="A19" s="103"/>
      <c r="B19" s="68">
        <v>11020200</v>
      </c>
      <c r="C19" s="98" t="s">
        <v>250</v>
      </c>
      <c r="D19" s="67">
        <v>1350000</v>
      </c>
      <c r="E19" s="123">
        <v>4300000</v>
      </c>
      <c r="F19" s="67">
        <f t="shared" si="0"/>
        <v>5650000</v>
      </c>
      <c r="G19" s="31"/>
    </row>
    <row r="20" spans="1:7" ht="56.45" customHeight="1">
      <c r="A20" s="103"/>
      <c r="B20" s="107" t="s">
        <v>251</v>
      </c>
      <c r="C20" s="111" t="s">
        <v>252</v>
      </c>
      <c r="D20" s="121">
        <f>D21</f>
        <v>10600</v>
      </c>
      <c r="E20" s="128">
        <f>E21</f>
        <v>-2600</v>
      </c>
      <c r="F20" s="121">
        <f t="shared" si="0"/>
        <v>8000</v>
      </c>
      <c r="G20" s="31"/>
    </row>
    <row r="21" spans="1:7" ht="35.450000000000003" customHeight="1">
      <c r="A21" s="103"/>
      <c r="B21" s="65" t="s">
        <v>253</v>
      </c>
      <c r="C21" s="95" t="s">
        <v>254</v>
      </c>
      <c r="D21" s="46">
        <f>D22</f>
        <v>10600</v>
      </c>
      <c r="E21" s="124">
        <f>E22</f>
        <v>-2600</v>
      </c>
      <c r="F21" s="46">
        <f t="shared" si="0"/>
        <v>8000</v>
      </c>
      <c r="G21" s="31"/>
    </row>
    <row r="22" spans="1:7" ht="107.45" customHeight="1">
      <c r="A22" s="103"/>
      <c r="B22" s="68">
        <v>13010200</v>
      </c>
      <c r="C22" s="98" t="s">
        <v>255</v>
      </c>
      <c r="D22" s="67">
        <v>10600</v>
      </c>
      <c r="E22" s="123">
        <v>-2600</v>
      </c>
      <c r="F22" s="67">
        <f t="shared" si="0"/>
        <v>8000</v>
      </c>
      <c r="G22" s="31"/>
    </row>
    <row r="23" spans="1:7" ht="23.45" customHeight="1">
      <c r="A23" s="103"/>
      <c r="B23" s="107">
        <v>18000000</v>
      </c>
      <c r="C23" s="111" t="s">
        <v>256</v>
      </c>
      <c r="D23" s="121">
        <v>1227645300</v>
      </c>
      <c r="E23" s="121">
        <f>+E24</f>
        <v>18100000</v>
      </c>
      <c r="F23" s="150">
        <f>+D23+E23</f>
        <v>1245745300</v>
      </c>
      <c r="G23" s="31"/>
    </row>
    <row r="24" spans="1:7" ht="23.45" customHeight="1">
      <c r="A24" s="103"/>
      <c r="B24" s="65">
        <v>18050000</v>
      </c>
      <c r="C24" s="95" t="s">
        <v>257</v>
      </c>
      <c r="D24" s="46">
        <v>207900000</v>
      </c>
      <c r="E24" s="124">
        <f>+E25</f>
        <v>18100000</v>
      </c>
      <c r="F24" s="46">
        <f>+E24+D24</f>
        <v>226000000</v>
      </c>
      <c r="G24" s="31"/>
    </row>
    <row r="25" spans="1:7" ht="24.6" customHeight="1">
      <c r="A25" s="103"/>
      <c r="B25" s="68">
        <v>18050400</v>
      </c>
      <c r="C25" s="98" t="s">
        <v>258</v>
      </c>
      <c r="D25" s="67">
        <v>175770000</v>
      </c>
      <c r="E25" s="67">
        <v>18100000</v>
      </c>
      <c r="F25" s="67">
        <f>+D25+E25</f>
        <v>193870000</v>
      </c>
      <c r="G25" s="31"/>
    </row>
    <row r="26" spans="1:7" ht="24.6" customHeight="1">
      <c r="A26" s="103"/>
      <c r="B26" s="103" t="s">
        <v>259</v>
      </c>
      <c r="C26" s="112" t="s">
        <v>260</v>
      </c>
      <c r="D26" s="122">
        <v>56230993</v>
      </c>
      <c r="E26" s="122">
        <f>+E27+E30</f>
        <v>5260000</v>
      </c>
      <c r="F26" s="122">
        <f>+E26+D26</f>
        <v>61490993</v>
      </c>
      <c r="G26" s="31"/>
    </row>
    <row r="27" spans="1:7" ht="36.6" customHeight="1">
      <c r="A27" s="103"/>
      <c r="B27" s="103" t="s">
        <v>261</v>
      </c>
      <c r="C27" s="113" t="s">
        <v>262</v>
      </c>
      <c r="D27" s="122">
        <v>10660000</v>
      </c>
      <c r="E27" s="122">
        <f>E28</f>
        <v>1000000</v>
      </c>
      <c r="F27" s="122">
        <f t="shared" ref="F27:F42" si="1">D27+E27</f>
        <v>11660000</v>
      </c>
      <c r="G27" s="31"/>
    </row>
    <row r="28" spans="1:7" ht="166.5" customHeight="1">
      <c r="A28" s="103"/>
      <c r="B28" s="68">
        <v>21010000</v>
      </c>
      <c r="C28" s="151" t="s">
        <v>263</v>
      </c>
      <c r="D28" s="67">
        <v>42000</v>
      </c>
      <c r="E28" s="123">
        <f>E29</f>
        <v>1000000</v>
      </c>
      <c r="F28" s="67">
        <f t="shared" si="1"/>
        <v>1042000</v>
      </c>
      <c r="G28" s="31"/>
    </row>
    <row r="29" spans="1:7" ht="83.45" customHeight="1">
      <c r="A29" s="103"/>
      <c r="B29" s="68" t="s">
        <v>303</v>
      </c>
      <c r="C29" s="114" t="s">
        <v>306</v>
      </c>
      <c r="D29" s="67">
        <v>42000</v>
      </c>
      <c r="E29" s="123">
        <v>1000000</v>
      </c>
      <c r="F29" s="67">
        <f>D29+E29</f>
        <v>1042000</v>
      </c>
      <c r="G29" s="31"/>
    </row>
    <row r="30" spans="1:7" ht="58.9" customHeight="1">
      <c r="A30" s="103"/>
      <c r="B30" s="103">
        <v>22000000</v>
      </c>
      <c r="C30" s="113" t="s">
        <v>264</v>
      </c>
      <c r="D30" s="122">
        <v>42765993</v>
      </c>
      <c r="E30" s="122">
        <f>E31+E35</f>
        <v>4260000</v>
      </c>
      <c r="F30" s="122">
        <f t="shared" si="1"/>
        <v>47025993</v>
      </c>
      <c r="G30" s="31"/>
    </row>
    <row r="31" spans="1:7" ht="35.450000000000003" customHeight="1">
      <c r="A31" s="103"/>
      <c r="B31" s="108">
        <v>22010000</v>
      </c>
      <c r="C31" s="115" t="s">
        <v>265</v>
      </c>
      <c r="D31" s="67">
        <v>23400000</v>
      </c>
      <c r="E31" s="123">
        <f>E32+E33+E34</f>
        <v>4400000</v>
      </c>
      <c r="F31" s="67">
        <f t="shared" si="1"/>
        <v>27800000</v>
      </c>
      <c r="G31" s="31"/>
    </row>
    <row r="32" spans="1:7" ht="72.599999999999994" customHeight="1">
      <c r="A32" s="103"/>
      <c r="B32" s="68">
        <v>22010300</v>
      </c>
      <c r="C32" s="114" t="s">
        <v>266</v>
      </c>
      <c r="D32" s="67">
        <v>700000</v>
      </c>
      <c r="E32" s="67">
        <v>-150000</v>
      </c>
      <c r="F32" s="67">
        <f t="shared" si="1"/>
        <v>550000</v>
      </c>
      <c r="G32" s="31"/>
    </row>
    <row r="33" spans="1:7" ht="35.450000000000003" customHeight="1">
      <c r="A33" s="103"/>
      <c r="B33" s="68" t="s">
        <v>267</v>
      </c>
      <c r="C33" s="114" t="s">
        <v>268</v>
      </c>
      <c r="D33" s="67">
        <v>20640000</v>
      </c>
      <c r="E33" s="67">
        <v>4950000</v>
      </c>
      <c r="F33" s="67">
        <f t="shared" si="1"/>
        <v>25590000</v>
      </c>
      <c r="G33" s="31"/>
    </row>
    <row r="34" spans="1:7" ht="53.45" customHeight="1">
      <c r="A34" s="103"/>
      <c r="B34" s="68">
        <v>22012600</v>
      </c>
      <c r="C34" s="114" t="s">
        <v>269</v>
      </c>
      <c r="D34" s="67">
        <v>2060000</v>
      </c>
      <c r="E34" s="67">
        <v>-400000</v>
      </c>
      <c r="F34" s="67">
        <f t="shared" si="1"/>
        <v>1660000</v>
      </c>
      <c r="G34" s="31"/>
    </row>
    <row r="35" spans="1:7" ht="22.15" customHeight="1">
      <c r="A35" s="103"/>
      <c r="B35" s="108">
        <v>22090000</v>
      </c>
      <c r="C35" s="115" t="s">
        <v>270</v>
      </c>
      <c r="D35" s="46">
        <f>D36+D37</f>
        <v>1365993</v>
      </c>
      <c r="E35" s="124">
        <f>E37+E36</f>
        <v>-140000</v>
      </c>
      <c r="F35" s="46">
        <f t="shared" si="1"/>
        <v>1225993</v>
      </c>
      <c r="G35" s="31"/>
    </row>
    <row r="36" spans="1:7" ht="35.450000000000003" customHeight="1">
      <c r="A36" s="103"/>
      <c r="B36" s="68" t="s">
        <v>271</v>
      </c>
      <c r="C36" s="114" t="s">
        <v>272</v>
      </c>
      <c r="D36" s="67">
        <v>1165993</v>
      </c>
      <c r="E36" s="123">
        <v>-180000</v>
      </c>
      <c r="F36" s="67">
        <f t="shared" si="1"/>
        <v>985993</v>
      </c>
      <c r="G36" s="31"/>
    </row>
    <row r="37" spans="1:7" ht="35.450000000000003" customHeight="1">
      <c r="A37" s="103"/>
      <c r="B37" s="68" t="s">
        <v>273</v>
      </c>
      <c r="C37" s="114" t="s">
        <v>274</v>
      </c>
      <c r="D37" s="67">
        <v>200000</v>
      </c>
      <c r="E37" s="123">
        <v>40000</v>
      </c>
      <c r="F37" s="67">
        <f t="shared" si="1"/>
        <v>240000</v>
      </c>
      <c r="G37" s="31"/>
    </row>
    <row r="38" spans="1:7" ht="25.9" customHeight="1">
      <c r="A38" s="103"/>
      <c r="B38" s="103">
        <v>30000000</v>
      </c>
      <c r="C38" s="112" t="s">
        <v>275</v>
      </c>
      <c r="D38" s="122">
        <v>44000</v>
      </c>
      <c r="E38" s="126">
        <f>E39</f>
        <v>100000</v>
      </c>
      <c r="F38" s="122">
        <f t="shared" si="1"/>
        <v>144000</v>
      </c>
      <c r="G38" s="31"/>
    </row>
    <row r="39" spans="1:7" ht="35.450000000000003" customHeight="1">
      <c r="A39" s="103"/>
      <c r="B39" s="68">
        <v>31000000</v>
      </c>
      <c r="C39" s="114" t="s">
        <v>276</v>
      </c>
      <c r="D39" s="67">
        <f>D40</f>
        <v>44000</v>
      </c>
      <c r="E39" s="123">
        <f>E40</f>
        <v>100000</v>
      </c>
      <c r="F39" s="67">
        <f t="shared" si="1"/>
        <v>144000</v>
      </c>
      <c r="G39" s="31"/>
    </row>
    <row r="40" spans="1:7" ht="124.15" customHeight="1">
      <c r="A40" s="103"/>
      <c r="B40" s="65">
        <v>31010000</v>
      </c>
      <c r="C40" s="116" t="s">
        <v>277</v>
      </c>
      <c r="D40" s="46">
        <f>D41</f>
        <v>44000</v>
      </c>
      <c r="E40" s="124">
        <f>E41</f>
        <v>100000</v>
      </c>
      <c r="F40" s="46">
        <f t="shared" si="1"/>
        <v>144000</v>
      </c>
      <c r="G40" s="31"/>
    </row>
    <row r="41" spans="1:7" ht="129" customHeight="1">
      <c r="A41" s="103"/>
      <c r="B41" s="68">
        <v>31010200</v>
      </c>
      <c r="C41" s="114" t="s">
        <v>278</v>
      </c>
      <c r="D41" s="67">
        <v>44000</v>
      </c>
      <c r="E41" s="123">
        <v>100000</v>
      </c>
      <c r="F41" s="67">
        <f t="shared" si="1"/>
        <v>144000</v>
      </c>
      <c r="G41" s="31"/>
    </row>
    <row r="42" spans="1:7" ht="57" customHeight="1">
      <c r="A42" s="103"/>
      <c r="B42" s="103">
        <v>40000000</v>
      </c>
      <c r="C42" s="112" t="s">
        <v>305</v>
      </c>
      <c r="D42" s="122">
        <f t="shared" ref="D42" si="2">+D43</f>
        <v>3203805328.4299998</v>
      </c>
      <c r="E42" s="122">
        <f>E43</f>
        <v>-688800</v>
      </c>
      <c r="F42" s="152">
        <f t="shared" si="1"/>
        <v>3203116528.4299998</v>
      </c>
      <c r="G42" s="31"/>
    </row>
    <row r="43" spans="1:7" ht="27" customHeight="1">
      <c r="A43" s="103"/>
      <c r="B43" s="103">
        <v>41000000</v>
      </c>
      <c r="C43" s="112" t="s">
        <v>279</v>
      </c>
      <c r="D43" s="122">
        <v>3203805328.4299998</v>
      </c>
      <c r="E43" s="122">
        <f>E44+E46</f>
        <v>-688800</v>
      </c>
      <c r="F43" s="152">
        <f>E43+D43</f>
        <v>3203116528.4299998</v>
      </c>
      <c r="G43" s="31"/>
    </row>
    <row r="44" spans="1:7" ht="38.450000000000003" customHeight="1">
      <c r="A44" s="103"/>
      <c r="B44" s="109">
        <v>41030000</v>
      </c>
      <c r="C44" s="117" t="s">
        <v>304</v>
      </c>
      <c r="D44" s="123">
        <v>1145771800</v>
      </c>
      <c r="E44" s="123">
        <f>E45</f>
        <v>7000000</v>
      </c>
      <c r="F44" s="149">
        <f>E44+D44</f>
        <v>1152771800</v>
      </c>
      <c r="G44" s="31"/>
    </row>
    <row r="45" spans="1:7" ht="74.45" customHeight="1">
      <c r="A45" s="103"/>
      <c r="B45" s="65" t="s">
        <v>280</v>
      </c>
      <c r="C45" s="116" t="s">
        <v>281</v>
      </c>
      <c r="D45" s="124">
        <v>0</v>
      </c>
      <c r="E45" s="124">
        <v>7000000</v>
      </c>
      <c r="F45" s="124">
        <f t="shared" ref="F45:F54" si="3">D45+E45</f>
        <v>7000000</v>
      </c>
      <c r="G45" s="31"/>
    </row>
    <row r="46" spans="1:7" ht="48" customHeight="1">
      <c r="A46" s="103"/>
      <c r="B46" s="109" t="s">
        <v>310</v>
      </c>
      <c r="C46" s="117" t="s">
        <v>311</v>
      </c>
      <c r="D46" s="123">
        <v>2056605101.5599999</v>
      </c>
      <c r="E46" s="123">
        <f>E47</f>
        <v>-7688800</v>
      </c>
      <c r="F46" s="149">
        <f>E46+D46</f>
        <v>2048916301.5599999</v>
      </c>
      <c r="G46" s="31"/>
    </row>
    <row r="47" spans="1:7" ht="244.15" customHeight="1">
      <c r="A47" s="103"/>
      <c r="B47" s="65" t="s">
        <v>309</v>
      </c>
      <c r="C47" s="153" t="s">
        <v>312</v>
      </c>
      <c r="D47" s="124">
        <v>796662400</v>
      </c>
      <c r="E47" s="124">
        <v>-7688800</v>
      </c>
      <c r="F47" s="124">
        <f t="shared" ref="F47" si="4">D47+E47</f>
        <v>788973600</v>
      </c>
      <c r="G47" s="31"/>
    </row>
    <row r="48" spans="1:7" ht="28.15" customHeight="1">
      <c r="A48" s="104"/>
      <c r="B48" s="104"/>
      <c r="C48" s="104" t="s">
        <v>282</v>
      </c>
      <c r="D48" s="125">
        <v>224718182</v>
      </c>
      <c r="E48" s="125">
        <f>E49+E55</f>
        <v>11220000</v>
      </c>
      <c r="F48" s="125">
        <f t="shared" si="3"/>
        <v>235938182</v>
      </c>
      <c r="G48" s="31"/>
    </row>
    <row r="49" spans="1:8" ht="24" customHeight="1">
      <c r="A49" s="103"/>
      <c r="B49" s="103">
        <v>10000000</v>
      </c>
      <c r="C49" s="118" t="s">
        <v>240</v>
      </c>
      <c r="D49" s="126">
        <v>51400000</v>
      </c>
      <c r="E49" s="126">
        <f>E50</f>
        <v>6020000</v>
      </c>
      <c r="F49" s="126">
        <f t="shared" si="3"/>
        <v>57420000</v>
      </c>
      <c r="G49" s="31"/>
    </row>
    <row r="50" spans="1:8" ht="24" customHeight="1">
      <c r="A50" s="103"/>
      <c r="B50" s="103">
        <v>19000000</v>
      </c>
      <c r="C50" s="112" t="s">
        <v>283</v>
      </c>
      <c r="D50" s="122">
        <v>51400000</v>
      </c>
      <c r="E50" s="122">
        <f>E51</f>
        <v>6020000</v>
      </c>
      <c r="F50" s="122">
        <f t="shared" si="3"/>
        <v>57420000</v>
      </c>
      <c r="G50" s="31"/>
    </row>
    <row r="51" spans="1:8" ht="22.9" customHeight="1">
      <c r="A51" s="103"/>
      <c r="B51" s="109">
        <v>19010000</v>
      </c>
      <c r="C51" s="117" t="s">
        <v>284</v>
      </c>
      <c r="D51" s="123">
        <v>51400000</v>
      </c>
      <c r="E51" s="123">
        <f>E52+E53+E54</f>
        <v>6020000</v>
      </c>
      <c r="F51" s="123">
        <f t="shared" si="3"/>
        <v>57420000</v>
      </c>
      <c r="G51" s="31"/>
    </row>
    <row r="52" spans="1:8" ht="75" customHeight="1">
      <c r="A52" s="103"/>
      <c r="B52" s="68">
        <v>19010100</v>
      </c>
      <c r="C52" s="114" t="s">
        <v>285</v>
      </c>
      <c r="D52" s="67">
        <v>23800000</v>
      </c>
      <c r="E52" s="67">
        <v>2269500</v>
      </c>
      <c r="F52" s="67">
        <f t="shared" si="3"/>
        <v>26069500</v>
      </c>
      <c r="G52" s="31"/>
    </row>
    <row r="53" spans="1:8" ht="43.9" customHeight="1">
      <c r="A53" s="103"/>
      <c r="B53" s="68">
        <v>19010200</v>
      </c>
      <c r="C53" s="114" t="s">
        <v>286</v>
      </c>
      <c r="D53" s="67">
        <v>1000000</v>
      </c>
      <c r="E53" s="67">
        <v>36100</v>
      </c>
      <c r="F53" s="67">
        <f t="shared" si="3"/>
        <v>1036100</v>
      </c>
      <c r="G53" s="31"/>
    </row>
    <row r="54" spans="1:8" ht="93.6" customHeight="1">
      <c r="A54" s="103"/>
      <c r="B54" s="68">
        <v>19010300</v>
      </c>
      <c r="C54" s="114" t="s">
        <v>287</v>
      </c>
      <c r="D54" s="67">
        <v>26600000</v>
      </c>
      <c r="E54" s="67">
        <v>3714400</v>
      </c>
      <c r="F54" s="67">
        <f t="shared" si="3"/>
        <v>30314400</v>
      </c>
      <c r="G54" s="31"/>
    </row>
    <row r="55" spans="1:8" ht="21.6" customHeight="1">
      <c r="A55" s="103"/>
      <c r="B55" s="103">
        <v>30000000</v>
      </c>
      <c r="C55" s="118" t="s">
        <v>275</v>
      </c>
      <c r="D55" s="126">
        <v>2820000</v>
      </c>
      <c r="E55" s="126">
        <f>E56</f>
        <v>5200000</v>
      </c>
      <c r="F55" s="126">
        <f>D55+E55</f>
        <v>8020000</v>
      </c>
      <c r="G55" s="31"/>
    </row>
    <row r="56" spans="1:8" ht="39" customHeight="1">
      <c r="A56" s="103"/>
      <c r="B56" s="103">
        <v>31000000</v>
      </c>
      <c r="C56" s="112" t="s">
        <v>276</v>
      </c>
      <c r="D56" s="122">
        <f>D57</f>
        <v>2000000</v>
      </c>
      <c r="E56" s="122">
        <f>E57</f>
        <v>5200000</v>
      </c>
      <c r="F56" s="122">
        <f>D56+E56</f>
        <v>7200000</v>
      </c>
      <c r="G56" s="31"/>
    </row>
    <row r="57" spans="1:8" ht="72.599999999999994" customHeight="1" thickBot="1">
      <c r="A57" s="105"/>
      <c r="B57" s="110">
        <v>31030000</v>
      </c>
      <c r="C57" s="119" t="s">
        <v>288</v>
      </c>
      <c r="D57" s="127">
        <v>2000000</v>
      </c>
      <c r="E57" s="129">
        <v>5200000</v>
      </c>
      <c r="F57" s="127">
        <f>D57+E57</f>
        <v>7200000</v>
      </c>
      <c r="G57" s="31"/>
    </row>
    <row r="58" spans="1:8" ht="43.15" customHeight="1" thickBot="1">
      <c r="A58" s="11"/>
      <c r="B58" s="61"/>
      <c r="C58" s="36" t="s">
        <v>48</v>
      </c>
      <c r="D58" s="49">
        <f>D10+D48</f>
        <v>7121547177.4300003</v>
      </c>
      <c r="E58" s="49">
        <f>E10+E48</f>
        <v>153398198</v>
      </c>
      <c r="F58" s="154">
        <f>D58+E58</f>
        <v>7274945375.4300003</v>
      </c>
      <c r="G58" s="31"/>
    </row>
    <row r="59" spans="1:8" ht="40.15" customHeight="1" thickBot="1">
      <c r="A59" s="11"/>
      <c r="B59" s="61"/>
      <c r="C59" s="36" t="s">
        <v>7</v>
      </c>
      <c r="D59" s="49">
        <f>704660+6646543440.58+1369759.87+29106027.46-11709492-485000</f>
        <v>6665529395.9099998</v>
      </c>
      <c r="E59" s="49">
        <f>E60+E64+E81+E96+E101+E108+E121+E127</f>
        <v>95321700</v>
      </c>
      <c r="F59" s="154">
        <f t="shared" ref="F59:F66" si="5">D59+E59</f>
        <v>6760851095.9099998</v>
      </c>
      <c r="G59" s="54"/>
      <c r="H59" s="2"/>
    </row>
    <row r="60" spans="1:8" ht="40.15" customHeight="1">
      <c r="A60" s="71" t="s">
        <v>120</v>
      </c>
      <c r="B60" s="48"/>
      <c r="C60" s="48" t="s">
        <v>119</v>
      </c>
      <c r="D60" s="29">
        <v>182477175</v>
      </c>
      <c r="E60" s="130">
        <f>E61</f>
        <v>0</v>
      </c>
      <c r="F60" s="29">
        <f t="shared" ref="F60:F63" si="6">D60+E60</f>
        <v>182477175</v>
      </c>
      <c r="G60" s="54"/>
      <c r="H60" s="2"/>
    </row>
    <row r="61" spans="1:8" ht="40.15" customHeight="1">
      <c r="A61" s="71" t="s">
        <v>121</v>
      </c>
      <c r="B61" s="48"/>
      <c r="C61" s="48" t="s">
        <v>119</v>
      </c>
      <c r="D61" s="29">
        <v>179237128</v>
      </c>
      <c r="E61" s="130">
        <f>E62</f>
        <v>0</v>
      </c>
      <c r="F61" s="29">
        <f t="shared" si="6"/>
        <v>179237128</v>
      </c>
      <c r="G61" s="54"/>
      <c r="H61" s="2"/>
    </row>
    <row r="62" spans="1:8" ht="93" customHeight="1">
      <c r="A62" s="72" t="s">
        <v>123</v>
      </c>
      <c r="B62" s="69" t="s">
        <v>124</v>
      </c>
      <c r="C62" s="77" t="s">
        <v>122</v>
      </c>
      <c r="D62" s="57">
        <v>170263083</v>
      </c>
      <c r="E62" s="131">
        <v>0</v>
      </c>
      <c r="F62" s="57">
        <f t="shared" si="6"/>
        <v>170263083</v>
      </c>
      <c r="G62" s="54"/>
      <c r="H62" s="2"/>
    </row>
    <row r="63" spans="1:8" ht="36.75" customHeight="1">
      <c r="A63" s="72"/>
      <c r="B63" s="69"/>
      <c r="C63" s="47" t="s">
        <v>42</v>
      </c>
      <c r="D63" s="78">
        <v>107983855</v>
      </c>
      <c r="E63" s="132">
        <v>1661206</v>
      </c>
      <c r="F63" s="78">
        <f t="shared" si="6"/>
        <v>109645061</v>
      </c>
      <c r="G63" s="54"/>
      <c r="H63" s="2"/>
    </row>
    <row r="64" spans="1:8" ht="60" customHeight="1">
      <c r="A64" s="71" t="s">
        <v>23</v>
      </c>
      <c r="B64" s="48"/>
      <c r="C64" s="48" t="s">
        <v>24</v>
      </c>
      <c r="D64" s="29">
        <f>D65</f>
        <v>2070380759</v>
      </c>
      <c r="E64" s="130">
        <f>E65</f>
        <v>19885282</v>
      </c>
      <c r="F64" s="155">
        <f t="shared" si="5"/>
        <v>2090266041</v>
      </c>
      <c r="G64" s="54"/>
      <c r="H64" s="2"/>
    </row>
    <row r="65" spans="1:8" ht="55.5" customHeight="1">
      <c r="A65" s="71" t="s">
        <v>25</v>
      </c>
      <c r="B65" s="48"/>
      <c r="C65" s="48" t="s">
        <v>24</v>
      </c>
      <c r="D65" s="29">
        <f>2070280759+100000</f>
        <v>2070380759</v>
      </c>
      <c r="E65" s="130">
        <f>E68+E70+E72+E73+E74+E79</f>
        <v>19885282</v>
      </c>
      <c r="F65" s="155">
        <f t="shared" si="5"/>
        <v>2090266041</v>
      </c>
      <c r="G65" s="54"/>
      <c r="H65" s="2"/>
    </row>
    <row r="66" spans="1:8" ht="29.25" customHeight="1">
      <c r="A66" s="73"/>
      <c r="B66" s="66"/>
      <c r="C66" s="66" t="s">
        <v>42</v>
      </c>
      <c r="D66" s="45">
        <v>1307483276</v>
      </c>
      <c r="E66" s="133">
        <f>E71+E76+E69</f>
        <v>5326921</v>
      </c>
      <c r="F66" s="156">
        <f t="shared" si="5"/>
        <v>1312810197</v>
      </c>
      <c r="G66" s="54"/>
      <c r="H66" s="2"/>
    </row>
    <row r="67" spans="1:8" ht="28.5" customHeight="1">
      <c r="A67" s="73"/>
      <c r="B67" s="66"/>
      <c r="C67" s="66" t="s">
        <v>43</v>
      </c>
      <c r="D67" s="45">
        <v>237513861</v>
      </c>
      <c r="E67" s="133">
        <f>E77</f>
        <v>127473</v>
      </c>
      <c r="F67" s="45">
        <f t="shared" ref="F67:F82" si="7">D67+E67</f>
        <v>237641334</v>
      </c>
      <c r="G67" s="54"/>
      <c r="H67" s="2"/>
    </row>
    <row r="68" spans="1:8" ht="30.6" customHeight="1">
      <c r="A68" s="72" t="s">
        <v>45</v>
      </c>
      <c r="B68" s="69" t="s">
        <v>46</v>
      </c>
      <c r="C68" s="77" t="s">
        <v>47</v>
      </c>
      <c r="D68" s="57">
        <v>657872965</v>
      </c>
      <c r="E68" s="131">
        <v>4070000</v>
      </c>
      <c r="F68" s="57">
        <f t="shared" si="7"/>
        <v>661942965</v>
      </c>
      <c r="G68" s="54"/>
      <c r="H68" s="2"/>
    </row>
    <row r="69" spans="1:8" ht="21" customHeight="1">
      <c r="A69" s="85"/>
      <c r="B69" s="86"/>
      <c r="C69" s="47" t="s">
        <v>42</v>
      </c>
      <c r="D69" s="78">
        <v>404123216</v>
      </c>
      <c r="E69" s="132">
        <v>1639344</v>
      </c>
      <c r="F69" s="78">
        <f t="shared" si="7"/>
        <v>405762560</v>
      </c>
      <c r="G69" s="54"/>
      <c r="H69" s="2"/>
    </row>
    <row r="70" spans="1:8" ht="122.25" customHeight="1">
      <c r="A70" s="72" t="s">
        <v>31</v>
      </c>
      <c r="B70" s="69" t="s">
        <v>32</v>
      </c>
      <c r="C70" s="77" t="s">
        <v>33</v>
      </c>
      <c r="D70" s="57">
        <f>1088018655+100000</f>
        <v>1088118655</v>
      </c>
      <c r="E70" s="131">
        <v>13759900</v>
      </c>
      <c r="F70" s="157">
        <f t="shared" si="7"/>
        <v>1101878555</v>
      </c>
      <c r="G70" s="54"/>
      <c r="H70" s="2"/>
    </row>
    <row r="71" spans="1:8" ht="24" customHeight="1">
      <c r="A71" s="85"/>
      <c r="B71" s="86"/>
      <c r="C71" s="47" t="s">
        <v>42</v>
      </c>
      <c r="D71" s="78">
        <v>723912129</v>
      </c>
      <c r="E71" s="132">
        <v>3278689</v>
      </c>
      <c r="F71" s="78">
        <f t="shared" ref="F71" si="8">D71+E71</f>
        <v>727190818</v>
      </c>
      <c r="G71" s="54"/>
      <c r="H71" s="2"/>
    </row>
    <row r="72" spans="1:8" ht="72.75" customHeight="1">
      <c r="A72" s="72" t="s">
        <v>67</v>
      </c>
      <c r="B72" s="69" t="s">
        <v>68</v>
      </c>
      <c r="C72" s="77" t="s">
        <v>69</v>
      </c>
      <c r="D72" s="57">
        <v>113732653</v>
      </c>
      <c r="E72" s="131">
        <v>636000</v>
      </c>
      <c r="F72" s="57">
        <f t="shared" si="7"/>
        <v>114368653</v>
      </c>
      <c r="G72" s="54"/>
      <c r="H72" s="2"/>
    </row>
    <row r="73" spans="1:8" ht="36.6" customHeight="1">
      <c r="A73" s="72" t="s">
        <v>236</v>
      </c>
      <c r="B73" s="69" t="s">
        <v>237</v>
      </c>
      <c r="C73" s="77" t="s">
        <v>238</v>
      </c>
      <c r="D73" s="57">
        <v>10948072</v>
      </c>
      <c r="E73" s="131">
        <v>-56100</v>
      </c>
      <c r="F73" s="57">
        <f t="shared" ref="F73" si="9">D73+E73</f>
        <v>10891972</v>
      </c>
      <c r="G73" s="54"/>
      <c r="H73" s="2"/>
    </row>
    <row r="74" spans="1:8" ht="37.15" customHeight="1">
      <c r="A74" s="65" t="s">
        <v>26</v>
      </c>
      <c r="B74" s="65">
        <v>1160</v>
      </c>
      <c r="C74" s="81" t="s">
        <v>27</v>
      </c>
      <c r="D74" s="46">
        <v>66919216</v>
      </c>
      <c r="E74" s="131">
        <f>E75+E78</f>
        <v>1550482</v>
      </c>
      <c r="F74" s="57">
        <f t="shared" si="7"/>
        <v>68469698</v>
      </c>
      <c r="G74" s="54"/>
      <c r="H74" s="2"/>
    </row>
    <row r="75" spans="1:8" ht="37.15" customHeight="1">
      <c r="A75" s="68" t="s">
        <v>194</v>
      </c>
      <c r="B75" s="68" t="s">
        <v>193</v>
      </c>
      <c r="C75" s="82" t="s">
        <v>192</v>
      </c>
      <c r="D75" s="67">
        <v>34738528</v>
      </c>
      <c r="E75" s="132">
        <v>970482</v>
      </c>
      <c r="F75" s="78">
        <f t="shared" si="7"/>
        <v>35709010</v>
      </c>
      <c r="G75" s="54"/>
      <c r="H75" s="2"/>
    </row>
    <row r="76" spans="1:8" ht="20.45" customHeight="1">
      <c r="A76" s="85"/>
      <c r="B76" s="86"/>
      <c r="C76" s="47" t="s">
        <v>42</v>
      </c>
      <c r="D76" s="78">
        <v>26255890</v>
      </c>
      <c r="E76" s="132">
        <v>408888</v>
      </c>
      <c r="F76" s="78">
        <f t="shared" si="7"/>
        <v>26664778</v>
      </c>
      <c r="G76" s="54"/>
      <c r="H76" s="2"/>
    </row>
    <row r="77" spans="1:8" ht="24" customHeight="1">
      <c r="A77" s="85"/>
      <c r="B77" s="86"/>
      <c r="C77" s="47" t="s">
        <v>43</v>
      </c>
      <c r="D77" s="78">
        <v>1497665</v>
      </c>
      <c r="E77" s="132">
        <v>127473</v>
      </c>
      <c r="F77" s="78">
        <f t="shared" si="7"/>
        <v>1625138</v>
      </c>
      <c r="G77" s="54"/>
      <c r="H77" s="2"/>
    </row>
    <row r="78" spans="1:8" ht="38.450000000000003" customHeight="1">
      <c r="A78" s="68" t="s">
        <v>28</v>
      </c>
      <c r="B78" s="68" t="s">
        <v>29</v>
      </c>
      <c r="C78" s="82" t="s">
        <v>30</v>
      </c>
      <c r="D78" s="67">
        <v>32180688</v>
      </c>
      <c r="E78" s="132">
        <v>580000</v>
      </c>
      <c r="F78" s="78">
        <f t="shared" si="7"/>
        <v>32760688</v>
      </c>
      <c r="G78" s="54"/>
      <c r="H78" s="2"/>
    </row>
    <row r="79" spans="1:8" ht="38.450000000000003" customHeight="1">
      <c r="A79" s="72" t="s">
        <v>74</v>
      </c>
      <c r="B79" s="69" t="s">
        <v>71</v>
      </c>
      <c r="C79" s="81" t="s">
        <v>75</v>
      </c>
      <c r="D79" s="46">
        <v>67725197</v>
      </c>
      <c r="E79" s="131">
        <f>E80</f>
        <v>-75000</v>
      </c>
      <c r="F79" s="57">
        <f t="shared" si="7"/>
        <v>67650197</v>
      </c>
      <c r="G79" s="54"/>
      <c r="H79" s="2"/>
    </row>
    <row r="80" spans="1:8" ht="64.150000000000006" customHeight="1">
      <c r="A80" s="68" t="s">
        <v>73</v>
      </c>
      <c r="B80" s="68" t="s">
        <v>72</v>
      </c>
      <c r="C80" s="82" t="s">
        <v>76</v>
      </c>
      <c r="D80" s="67">
        <v>67725197</v>
      </c>
      <c r="E80" s="132">
        <v>-75000</v>
      </c>
      <c r="F80" s="78">
        <f t="shared" si="7"/>
        <v>67650197</v>
      </c>
      <c r="G80" s="54"/>
      <c r="H80" s="2"/>
    </row>
    <row r="81" spans="1:8" ht="43.9" customHeight="1">
      <c r="A81" s="71" t="s">
        <v>158</v>
      </c>
      <c r="B81" s="48"/>
      <c r="C81" s="48" t="s">
        <v>159</v>
      </c>
      <c r="D81" s="29">
        <f>D82</f>
        <v>825712646.48000002</v>
      </c>
      <c r="E81" s="130">
        <f>E82</f>
        <v>15514020</v>
      </c>
      <c r="F81" s="29">
        <f t="shared" si="7"/>
        <v>841226666.48000002</v>
      </c>
      <c r="G81" s="54"/>
      <c r="H81" s="2"/>
    </row>
    <row r="82" spans="1:8" ht="42.6" customHeight="1">
      <c r="A82" s="71" t="s">
        <v>160</v>
      </c>
      <c r="B82" s="48"/>
      <c r="C82" s="48" t="s">
        <v>159</v>
      </c>
      <c r="D82" s="29">
        <f>825882846.48-70200-100000</f>
        <v>825712646.48000002</v>
      </c>
      <c r="E82" s="130">
        <f>E83+E84+E85+E86+E87+E89+E90+E92+E94</f>
        <v>15514020</v>
      </c>
      <c r="F82" s="29">
        <f t="shared" si="7"/>
        <v>841226666.48000002</v>
      </c>
      <c r="G82" s="54"/>
      <c r="H82" s="2"/>
    </row>
    <row r="83" spans="1:8" ht="42.6" customHeight="1">
      <c r="A83" s="72" t="s">
        <v>163</v>
      </c>
      <c r="B83" s="69" t="s">
        <v>162</v>
      </c>
      <c r="C83" s="81" t="s">
        <v>161</v>
      </c>
      <c r="D83" s="46">
        <v>502783757</v>
      </c>
      <c r="E83" s="131">
        <f>9916400-910200+343332</f>
        <v>9349532</v>
      </c>
      <c r="F83" s="57">
        <f t="shared" ref="F83:F93" si="10">D83+E83</f>
        <v>512133289</v>
      </c>
      <c r="G83" s="54"/>
      <c r="H83" s="2"/>
    </row>
    <row r="84" spans="1:8" ht="52.15" customHeight="1">
      <c r="A84" s="72" t="s">
        <v>166</v>
      </c>
      <c r="B84" s="69" t="s">
        <v>165</v>
      </c>
      <c r="C84" s="81" t="s">
        <v>164</v>
      </c>
      <c r="D84" s="46">
        <v>57185515</v>
      </c>
      <c r="E84" s="131">
        <v>4283400</v>
      </c>
      <c r="F84" s="57">
        <f t="shared" si="10"/>
        <v>61468915</v>
      </c>
      <c r="G84" s="54"/>
      <c r="H84" s="2"/>
    </row>
    <row r="85" spans="1:8" ht="52.15" customHeight="1">
      <c r="A85" s="72" t="s">
        <v>220</v>
      </c>
      <c r="B85" s="69" t="s">
        <v>221</v>
      </c>
      <c r="C85" s="81" t="s">
        <v>222</v>
      </c>
      <c r="D85" s="46">
        <v>5422138</v>
      </c>
      <c r="E85" s="131">
        <v>219900</v>
      </c>
      <c r="F85" s="57">
        <f t="shared" si="10"/>
        <v>5642038</v>
      </c>
      <c r="G85" s="54"/>
      <c r="H85" s="2"/>
    </row>
    <row r="86" spans="1:8" ht="26.45" customHeight="1">
      <c r="A86" s="72" t="s">
        <v>169</v>
      </c>
      <c r="B86" s="69" t="s">
        <v>168</v>
      </c>
      <c r="C86" s="81" t="s">
        <v>167</v>
      </c>
      <c r="D86" s="46">
        <v>34722679</v>
      </c>
      <c r="E86" s="131">
        <v>297400</v>
      </c>
      <c r="F86" s="57">
        <f t="shared" si="10"/>
        <v>35020079</v>
      </c>
      <c r="G86" s="54"/>
      <c r="H86" s="2"/>
    </row>
    <row r="87" spans="1:8" ht="42" customHeight="1">
      <c r="A87" s="72" t="s">
        <v>225</v>
      </c>
      <c r="B87" s="69" t="s">
        <v>226</v>
      </c>
      <c r="C87" s="81" t="s">
        <v>229</v>
      </c>
      <c r="D87" s="46">
        <f>D88</f>
        <v>138195857.21000001</v>
      </c>
      <c r="E87" s="131">
        <f>E88</f>
        <v>305688</v>
      </c>
      <c r="F87" s="57">
        <f t="shared" si="10"/>
        <v>138501545.21000001</v>
      </c>
      <c r="G87" s="54"/>
      <c r="H87" s="2"/>
    </row>
    <row r="88" spans="1:8" ht="78" customHeight="1">
      <c r="A88" s="85" t="s">
        <v>227</v>
      </c>
      <c r="B88" s="86" t="s">
        <v>228</v>
      </c>
      <c r="C88" s="82" t="s">
        <v>230</v>
      </c>
      <c r="D88" s="67">
        <v>138195857.21000001</v>
      </c>
      <c r="E88" s="132">
        <f>76800+228888</f>
        <v>305688</v>
      </c>
      <c r="F88" s="78">
        <f t="shared" si="10"/>
        <v>138501545.21000001</v>
      </c>
      <c r="G88" s="54"/>
      <c r="H88" s="2"/>
    </row>
    <row r="89" spans="1:8" ht="57" customHeight="1">
      <c r="A89" s="72" t="s">
        <v>223</v>
      </c>
      <c r="B89" s="69" t="s">
        <v>224</v>
      </c>
      <c r="C89" s="81" t="s">
        <v>231</v>
      </c>
      <c r="D89" s="46">
        <v>2069300</v>
      </c>
      <c r="E89" s="131">
        <v>58100</v>
      </c>
      <c r="F89" s="57">
        <f t="shared" si="10"/>
        <v>2127400</v>
      </c>
      <c r="G89" s="54"/>
      <c r="H89" s="2"/>
    </row>
    <row r="90" spans="1:8" ht="39" customHeight="1">
      <c r="A90" s="72" t="s">
        <v>291</v>
      </c>
      <c r="B90" s="69" t="s">
        <v>292</v>
      </c>
      <c r="C90" s="81" t="s">
        <v>289</v>
      </c>
      <c r="D90" s="46">
        <f>D91</f>
        <v>42571207.270000003</v>
      </c>
      <c r="E90" s="131">
        <f>E91</f>
        <v>-94000</v>
      </c>
      <c r="F90" s="57">
        <f t="shared" si="10"/>
        <v>42477207.270000003</v>
      </c>
      <c r="G90" s="54"/>
      <c r="H90" s="2"/>
    </row>
    <row r="91" spans="1:8" ht="40.15" customHeight="1">
      <c r="A91" s="85" t="s">
        <v>294</v>
      </c>
      <c r="B91" s="86" t="s">
        <v>293</v>
      </c>
      <c r="C91" s="82" t="s">
        <v>290</v>
      </c>
      <c r="D91" s="67">
        <f>42671207.27-100000</f>
        <v>42571207.270000003</v>
      </c>
      <c r="E91" s="132">
        <v>-94000</v>
      </c>
      <c r="F91" s="78">
        <f t="shared" si="10"/>
        <v>42477207.270000003</v>
      </c>
      <c r="G91" s="54"/>
      <c r="H91" s="2"/>
    </row>
    <row r="92" spans="1:8" ht="38.450000000000003" customHeight="1">
      <c r="A92" s="72" t="s">
        <v>233</v>
      </c>
      <c r="B92" s="69" t="s">
        <v>202</v>
      </c>
      <c r="C92" s="81" t="s">
        <v>232</v>
      </c>
      <c r="D92" s="46">
        <v>4073086</v>
      </c>
      <c r="E92" s="131">
        <f>E93</f>
        <v>1000000</v>
      </c>
      <c r="F92" s="57">
        <f t="shared" si="10"/>
        <v>5073086</v>
      </c>
      <c r="G92" s="54"/>
      <c r="H92" s="2"/>
    </row>
    <row r="93" spans="1:8" ht="90.6" customHeight="1">
      <c r="A93" s="72"/>
      <c r="B93" s="69"/>
      <c r="C93" s="82" t="s">
        <v>234</v>
      </c>
      <c r="D93" s="67">
        <v>0</v>
      </c>
      <c r="E93" s="132">
        <v>1000000</v>
      </c>
      <c r="F93" s="78">
        <f t="shared" si="10"/>
        <v>1000000</v>
      </c>
      <c r="G93" s="54"/>
      <c r="H93" s="2"/>
    </row>
    <row r="94" spans="1:8" ht="31.15" customHeight="1">
      <c r="A94" s="72" t="s">
        <v>295</v>
      </c>
      <c r="B94" s="69" t="s">
        <v>296</v>
      </c>
      <c r="C94" s="81" t="s">
        <v>40</v>
      </c>
      <c r="D94" s="46">
        <v>10193000</v>
      </c>
      <c r="E94" s="131">
        <f>E95</f>
        <v>94000</v>
      </c>
      <c r="F94" s="57">
        <f t="shared" ref="F94:F95" si="11">D94+E94</f>
        <v>10287000</v>
      </c>
      <c r="G94" s="54"/>
      <c r="H94" s="2"/>
    </row>
    <row r="95" spans="1:8" ht="42.6" customHeight="1">
      <c r="A95" s="72" t="s">
        <v>297</v>
      </c>
      <c r="B95" s="69" t="s">
        <v>298</v>
      </c>
      <c r="C95" s="82" t="s">
        <v>299</v>
      </c>
      <c r="D95" s="67">
        <v>10193000</v>
      </c>
      <c r="E95" s="132">
        <v>94000</v>
      </c>
      <c r="F95" s="78">
        <f t="shared" si="11"/>
        <v>10287000</v>
      </c>
      <c r="G95" s="54"/>
      <c r="H95" s="2"/>
    </row>
    <row r="96" spans="1:8" ht="38.450000000000003" customHeight="1">
      <c r="A96" s="71" t="s">
        <v>49</v>
      </c>
      <c r="B96" s="48"/>
      <c r="C96" s="48" t="s">
        <v>51</v>
      </c>
      <c r="D96" s="29">
        <f>D97</f>
        <v>1453260078</v>
      </c>
      <c r="E96" s="130">
        <f>E97</f>
        <v>-19331140</v>
      </c>
      <c r="F96" s="155">
        <f t="shared" ref="F96:F97" si="12">D96+E96</f>
        <v>1433928938</v>
      </c>
      <c r="G96" s="54"/>
      <c r="H96" s="2"/>
    </row>
    <row r="97" spans="1:8" ht="38.450000000000003" customHeight="1">
      <c r="A97" s="71" t="s">
        <v>50</v>
      </c>
      <c r="B97" s="48"/>
      <c r="C97" s="48" t="s">
        <v>51</v>
      </c>
      <c r="D97" s="29">
        <v>1453260078</v>
      </c>
      <c r="E97" s="130">
        <f>E98</f>
        <v>-19331140</v>
      </c>
      <c r="F97" s="155">
        <f t="shared" si="12"/>
        <v>1433928938</v>
      </c>
      <c r="G97" s="54"/>
      <c r="H97" s="2"/>
    </row>
    <row r="98" spans="1:8" ht="95.45" customHeight="1">
      <c r="A98" s="72" t="s">
        <v>79</v>
      </c>
      <c r="B98" s="69" t="s">
        <v>78</v>
      </c>
      <c r="C98" s="77" t="s">
        <v>77</v>
      </c>
      <c r="D98" s="57">
        <v>115557379</v>
      </c>
      <c r="E98" s="131">
        <f>SUM(E99:E100)</f>
        <v>-19331140</v>
      </c>
      <c r="F98" s="57">
        <f>D98+E98</f>
        <v>96226239</v>
      </c>
      <c r="G98" s="54"/>
      <c r="H98" s="2"/>
    </row>
    <row r="99" spans="1:8" ht="60.6" customHeight="1">
      <c r="A99" s="85" t="s">
        <v>155</v>
      </c>
      <c r="B99" s="86" t="s">
        <v>156</v>
      </c>
      <c r="C99" s="84" t="s">
        <v>154</v>
      </c>
      <c r="D99" s="78">
        <v>1000000</v>
      </c>
      <c r="E99" s="132">
        <v>2000000</v>
      </c>
      <c r="F99" s="78">
        <f>D99+E99</f>
        <v>3000000</v>
      </c>
      <c r="G99" s="54"/>
      <c r="H99" s="2"/>
    </row>
    <row r="100" spans="1:8" ht="60.6" customHeight="1">
      <c r="A100" s="85" t="s">
        <v>217</v>
      </c>
      <c r="B100" s="86" t="s">
        <v>218</v>
      </c>
      <c r="C100" s="84" t="s">
        <v>219</v>
      </c>
      <c r="D100" s="78">
        <v>104274640</v>
      </c>
      <c r="E100" s="132">
        <v>-21331140</v>
      </c>
      <c r="F100" s="78">
        <f>D100+E100</f>
        <v>82943500</v>
      </c>
      <c r="G100" s="54"/>
      <c r="H100" s="2"/>
    </row>
    <row r="101" spans="1:8" ht="42" customHeight="1">
      <c r="A101" s="71" t="s">
        <v>89</v>
      </c>
      <c r="B101" s="48"/>
      <c r="C101" s="48" t="s">
        <v>64</v>
      </c>
      <c r="D101" s="29">
        <f>D102</f>
        <v>195041283</v>
      </c>
      <c r="E101" s="130">
        <f>E102</f>
        <v>2595994</v>
      </c>
      <c r="F101" s="29">
        <f t="shared" ref="F101:F102" si="13">D101+E101</f>
        <v>197637277</v>
      </c>
      <c r="G101" s="54"/>
      <c r="H101" s="2"/>
    </row>
    <row r="102" spans="1:8" ht="43.15" customHeight="1">
      <c r="A102" s="71" t="s">
        <v>81</v>
      </c>
      <c r="B102" s="48"/>
      <c r="C102" s="48" t="s">
        <v>64</v>
      </c>
      <c r="D102" s="29">
        <f>195246083-204800</f>
        <v>195041283</v>
      </c>
      <c r="E102" s="130">
        <f>E103+E104+E105+E107</f>
        <v>2595994</v>
      </c>
      <c r="F102" s="29">
        <f t="shared" si="13"/>
        <v>197637277</v>
      </c>
      <c r="G102" s="54"/>
      <c r="H102" s="2"/>
    </row>
    <row r="103" spans="1:8" ht="84" customHeight="1">
      <c r="A103" s="72" t="s">
        <v>90</v>
      </c>
      <c r="B103" s="69" t="s">
        <v>91</v>
      </c>
      <c r="C103" s="77" t="s">
        <v>92</v>
      </c>
      <c r="D103" s="57">
        <v>94452627</v>
      </c>
      <c r="E103" s="131">
        <f>10450</f>
        <v>10450</v>
      </c>
      <c r="F103" s="57">
        <f>D103+E103</f>
        <v>94463077</v>
      </c>
      <c r="G103" s="54"/>
      <c r="H103" s="2"/>
    </row>
    <row r="104" spans="1:8" ht="57" customHeight="1">
      <c r="A104" s="72" t="s">
        <v>93</v>
      </c>
      <c r="B104" s="69" t="s">
        <v>94</v>
      </c>
      <c r="C104" s="77" t="s">
        <v>95</v>
      </c>
      <c r="D104" s="57">
        <v>22635522</v>
      </c>
      <c r="E104" s="131">
        <v>459934</v>
      </c>
      <c r="F104" s="57">
        <f>D104+E104</f>
        <v>23095456</v>
      </c>
      <c r="G104" s="54"/>
      <c r="H104" s="2"/>
    </row>
    <row r="105" spans="1:8" ht="40.9" customHeight="1">
      <c r="A105" s="72" t="s">
        <v>96</v>
      </c>
      <c r="B105" s="69" t="s">
        <v>99</v>
      </c>
      <c r="C105" s="77" t="s">
        <v>100</v>
      </c>
      <c r="D105" s="57">
        <f>D106</f>
        <v>6303800</v>
      </c>
      <c r="E105" s="131">
        <f>E106</f>
        <v>-920390</v>
      </c>
      <c r="F105" s="57">
        <f t="shared" ref="F105:F107" si="14">D105+E105</f>
        <v>5383410</v>
      </c>
      <c r="G105" s="54"/>
      <c r="H105" s="2"/>
    </row>
    <row r="106" spans="1:8" ht="42.6" customHeight="1">
      <c r="A106" s="85" t="s">
        <v>97</v>
      </c>
      <c r="B106" s="86" t="s">
        <v>98</v>
      </c>
      <c r="C106" s="84" t="s">
        <v>101</v>
      </c>
      <c r="D106" s="78">
        <f>6508600-204800</f>
        <v>6303800</v>
      </c>
      <c r="E106" s="132">
        <f>-920390</f>
        <v>-920390</v>
      </c>
      <c r="F106" s="78">
        <f t="shared" si="14"/>
        <v>5383410</v>
      </c>
      <c r="G106" s="54"/>
      <c r="H106" s="2"/>
    </row>
    <row r="107" spans="1:8" ht="40.9" customHeight="1">
      <c r="A107" s="72" t="s">
        <v>102</v>
      </c>
      <c r="B107" s="69" t="s">
        <v>103</v>
      </c>
      <c r="C107" s="77" t="s">
        <v>104</v>
      </c>
      <c r="D107" s="57">
        <v>12479062</v>
      </c>
      <c r="E107" s="131">
        <f>3046000</f>
        <v>3046000</v>
      </c>
      <c r="F107" s="57">
        <f t="shared" si="14"/>
        <v>15525062</v>
      </c>
      <c r="G107" s="54"/>
      <c r="H107" s="2"/>
    </row>
    <row r="108" spans="1:8" ht="54.6" customHeight="1">
      <c r="A108" s="71" t="s">
        <v>35</v>
      </c>
      <c r="B108" s="48"/>
      <c r="C108" s="48" t="s">
        <v>34</v>
      </c>
      <c r="D108" s="29">
        <f>D109</f>
        <v>437595664</v>
      </c>
      <c r="E108" s="130">
        <f>E109</f>
        <v>31054664</v>
      </c>
      <c r="F108" s="29">
        <f t="shared" ref="F108" si="15">D108+E108</f>
        <v>468650328</v>
      </c>
      <c r="G108" s="54"/>
      <c r="H108" s="2"/>
    </row>
    <row r="109" spans="1:8" ht="58.9" customHeight="1">
      <c r="A109" s="71" t="s">
        <v>36</v>
      </c>
      <c r="B109" s="48"/>
      <c r="C109" s="48" t="s">
        <v>34</v>
      </c>
      <c r="D109" s="29">
        <f>437805664-210000</f>
        <v>437595664</v>
      </c>
      <c r="E109" s="130">
        <f>E110+E112+E114+E115+E117+E118+E120</f>
        <v>31054664</v>
      </c>
      <c r="F109" s="29">
        <f t="shared" ref="F109:F117" si="16">D109+E109</f>
        <v>468650328</v>
      </c>
      <c r="G109" s="54"/>
      <c r="H109" s="2"/>
    </row>
    <row r="110" spans="1:8" ht="53.45" customHeight="1">
      <c r="A110" s="72" t="s">
        <v>83</v>
      </c>
      <c r="B110" s="69" t="s">
        <v>84</v>
      </c>
      <c r="C110" s="77" t="s">
        <v>82</v>
      </c>
      <c r="D110" s="44">
        <v>43410241</v>
      </c>
      <c r="E110" s="131">
        <f>SUM(E111:E111)</f>
        <v>3984000</v>
      </c>
      <c r="F110" s="44">
        <f t="shared" ref="F110" si="17">D110+E110</f>
        <v>47394241</v>
      </c>
      <c r="G110" s="54"/>
      <c r="H110" s="2"/>
    </row>
    <row r="111" spans="1:8" ht="60.6" customHeight="1">
      <c r="A111" s="85" t="s">
        <v>198</v>
      </c>
      <c r="B111" s="86" t="s">
        <v>199</v>
      </c>
      <c r="C111" s="82" t="s">
        <v>200</v>
      </c>
      <c r="D111" s="67">
        <v>0</v>
      </c>
      <c r="E111" s="132">
        <f>3984000</f>
        <v>3984000</v>
      </c>
      <c r="F111" s="78">
        <f t="shared" ref="F111" si="18">D111+E111</f>
        <v>3984000</v>
      </c>
      <c r="G111" s="54"/>
      <c r="H111" s="2"/>
    </row>
    <row r="112" spans="1:8" ht="39.6" customHeight="1">
      <c r="A112" s="72" t="s">
        <v>37</v>
      </c>
      <c r="B112" s="69" t="s">
        <v>38</v>
      </c>
      <c r="C112" s="77" t="s">
        <v>39</v>
      </c>
      <c r="D112" s="44">
        <f>105947404.37-210000</f>
        <v>105737404.37</v>
      </c>
      <c r="E112" s="46">
        <v>21371000</v>
      </c>
      <c r="F112" s="44">
        <f t="shared" si="16"/>
        <v>127108404.37</v>
      </c>
      <c r="G112" s="54"/>
      <c r="H112" s="2"/>
    </row>
    <row r="113" spans="1:8" ht="28.9" customHeight="1">
      <c r="A113" s="85"/>
      <c r="B113" s="86"/>
      <c r="C113" s="47" t="s">
        <v>44</v>
      </c>
      <c r="D113" s="78">
        <v>37126819</v>
      </c>
      <c r="E113" s="132">
        <v>10500000</v>
      </c>
      <c r="F113" s="78">
        <f t="shared" si="16"/>
        <v>47626819</v>
      </c>
      <c r="G113" s="54"/>
      <c r="H113" s="2"/>
    </row>
    <row r="114" spans="1:8" ht="39.6" customHeight="1">
      <c r="A114" s="72" t="s">
        <v>195</v>
      </c>
      <c r="B114" s="69" t="s">
        <v>196</v>
      </c>
      <c r="C114" s="77" t="s">
        <v>197</v>
      </c>
      <c r="D114" s="44">
        <v>5949780.6299999999</v>
      </c>
      <c r="E114" s="46">
        <f>3966240</f>
        <v>3966240</v>
      </c>
      <c r="F114" s="44">
        <f t="shared" ref="F114" si="19">D114+E114</f>
        <v>9916020.629999999</v>
      </c>
      <c r="G114" s="54"/>
      <c r="H114" s="2"/>
    </row>
    <row r="115" spans="1:8" ht="39.6" customHeight="1">
      <c r="A115" s="72" t="s">
        <v>52</v>
      </c>
      <c r="B115" s="69" t="s">
        <v>53</v>
      </c>
      <c r="C115" s="77" t="s">
        <v>56</v>
      </c>
      <c r="D115" s="44">
        <f>D116</f>
        <v>248295344</v>
      </c>
      <c r="E115" s="131">
        <f>E116</f>
        <v>5855000</v>
      </c>
      <c r="F115" s="44">
        <f t="shared" si="16"/>
        <v>254150344</v>
      </c>
      <c r="G115" s="54"/>
      <c r="H115" s="2"/>
    </row>
    <row r="116" spans="1:8" ht="79.150000000000006" customHeight="1">
      <c r="A116" s="85" t="s">
        <v>55</v>
      </c>
      <c r="B116" s="86" t="s">
        <v>54</v>
      </c>
      <c r="C116" s="82" t="s">
        <v>57</v>
      </c>
      <c r="D116" s="67">
        <v>248295344</v>
      </c>
      <c r="E116" s="132">
        <f>5855000</f>
        <v>5855000</v>
      </c>
      <c r="F116" s="78">
        <f t="shared" si="16"/>
        <v>254150344</v>
      </c>
      <c r="G116" s="54"/>
      <c r="H116" s="2"/>
    </row>
    <row r="117" spans="1:8" ht="31.15" customHeight="1">
      <c r="A117" s="72" t="s">
        <v>190</v>
      </c>
      <c r="B117" s="69" t="s">
        <v>189</v>
      </c>
      <c r="C117" s="77" t="s">
        <v>191</v>
      </c>
      <c r="D117" s="44">
        <v>16757000</v>
      </c>
      <c r="E117" s="131">
        <f>850000</f>
        <v>850000</v>
      </c>
      <c r="F117" s="44">
        <f t="shared" si="16"/>
        <v>17607000</v>
      </c>
      <c r="G117" s="54"/>
      <c r="H117" s="2"/>
    </row>
    <row r="118" spans="1:8" ht="27" customHeight="1">
      <c r="A118" s="72" t="s">
        <v>58</v>
      </c>
      <c r="B118" s="69" t="s">
        <v>59</v>
      </c>
      <c r="C118" s="77" t="s">
        <v>62</v>
      </c>
      <c r="D118" s="44">
        <f>D119</f>
        <v>15926653</v>
      </c>
      <c r="E118" s="131">
        <f>E119</f>
        <v>-4968630</v>
      </c>
      <c r="F118" s="44">
        <f t="shared" ref="F118:F148" si="20">D118+E118</f>
        <v>10958023</v>
      </c>
      <c r="G118" s="54"/>
      <c r="H118" s="2"/>
    </row>
    <row r="119" spans="1:8" ht="34.15" customHeight="1">
      <c r="A119" s="85" t="s">
        <v>61</v>
      </c>
      <c r="B119" s="86" t="s">
        <v>60</v>
      </c>
      <c r="C119" s="82" t="s">
        <v>63</v>
      </c>
      <c r="D119" s="67">
        <v>15926653</v>
      </c>
      <c r="E119" s="132">
        <f>-4968630</f>
        <v>-4968630</v>
      </c>
      <c r="F119" s="78">
        <f t="shared" si="20"/>
        <v>10958023</v>
      </c>
      <c r="G119" s="54"/>
      <c r="H119" s="2"/>
    </row>
    <row r="120" spans="1:8" ht="115.15" customHeight="1">
      <c r="A120" s="72" t="s">
        <v>201</v>
      </c>
      <c r="B120" s="69" t="s">
        <v>202</v>
      </c>
      <c r="C120" s="77" t="s">
        <v>203</v>
      </c>
      <c r="D120" s="44">
        <v>295841</v>
      </c>
      <c r="E120" s="131">
        <f>-2946</f>
        <v>-2946</v>
      </c>
      <c r="F120" s="44">
        <f t="shared" si="20"/>
        <v>292895</v>
      </c>
      <c r="G120" s="54"/>
      <c r="H120" s="2"/>
    </row>
    <row r="121" spans="1:8" ht="34.15" customHeight="1">
      <c r="A121" s="71" t="s">
        <v>171</v>
      </c>
      <c r="B121" s="48"/>
      <c r="C121" s="48" t="s">
        <v>170</v>
      </c>
      <c r="D121" s="29">
        <f>D122</f>
        <v>232869700</v>
      </c>
      <c r="E121" s="130">
        <f>E122</f>
        <v>43709800</v>
      </c>
      <c r="F121" s="29">
        <f t="shared" ref="F121:F124" si="21">D121+E121</f>
        <v>276579500</v>
      </c>
      <c r="G121" s="54"/>
      <c r="H121" s="2"/>
    </row>
    <row r="122" spans="1:8" ht="34.15" customHeight="1">
      <c r="A122" s="71" t="s">
        <v>172</v>
      </c>
      <c r="B122" s="48"/>
      <c r="C122" s="48" t="s">
        <v>170</v>
      </c>
      <c r="D122" s="29">
        <v>232869700</v>
      </c>
      <c r="E122" s="130">
        <f>E123+E125</f>
        <v>43709800</v>
      </c>
      <c r="F122" s="29">
        <f t="shared" si="21"/>
        <v>276579500</v>
      </c>
      <c r="G122" s="54"/>
      <c r="H122" s="2"/>
    </row>
    <row r="123" spans="1:8" ht="54.6" customHeight="1">
      <c r="A123" s="72" t="s">
        <v>176</v>
      </c>
      <c r="B123" s="69" t="s">
        <v>177</v>
      </c>
      <c r="C123" s="77" t="s">
        <v>174</v>
      </c>
      <c r="D123" s="44">
        <f>D124</f>
        <v>6982500</v>
      </c>
      <c r="E123" s="131">
        <f>E124</f>
        <v>3200000</v>
      </c>
      <c r="F123" s="44">
        <f t="shared" ref="F123" si="22">D123+E123</f>
        <v>10182500</v>
      </c>
      <c r="G123" s="54"/>
      <c r="H123" s="2"/>
    </row>
    <row r="124" spans="1:8" ht="24.6" customHeight="1">
      <c r="A124" s="85" t="s">
        <v>179</v>
      </c>
      <c r="B124" s="86" t="s">
        <v>178</v>
      </c>
      <c r="C124" s="82" t="s">
        <v>175</v>
      </c>
      <c r="D124" s="67">
        <v>6982500</v>
      </c>
      <c r="E124" s="132">
        <f>2800000+400000</f>
        <v>3200000</v>
      </c>
      <c r="F124" s="55">
        <f t="shared" si="21"/>
        <v>10182500</v>
      </c>
      <c r="G124" s="54"/>
      <c r="H124" s="2"/>
    </row>
    <row r="125" spans="1:8" ht="58.15" customHeight="1">
      <c r="A125" s="72" t="s">
        <v>182</v>
      </c>
      <c r="B125" s="69" t="s">
        <v>183</v>
      </c>
      <c r="C125" s="77" t="s">
        <v>173</v>
      </c>
      <c r="D125" s="44">
        <f>D126</f>
        <v>218137200</v>
      </c>
      <c r="E125" s="131">
        <f>E126</f>
        <v>40509800</v>
      </c>
      <c r="F125" s="44">
        <f t="shared" ref="F125:F126" si="23">D125+E125</f>
        <v>258647000</v>
      </c>
      <c r="G125" s="54"/>
      <c r="H125" s="2"/>
    </row>
    <row r="126" spans="1:8" ht="35.450000000000003" customHeight="1">
      <c r="A126" s="85" t="s">
        <v>181</v>
      </c>
      <c r="B126" s="86" t="s">
        <v>180</v>
      </c>
      <c r="C126" s="82" t="s">
        <v>184</v>
      </c>
      <c r="D126" s="67">
        <v>218137200</v>
      </c>
      <c r="E126" s="132">
        <f>30909800+7000000+2600000</f>
        <v>40509800</v>
      </c>
      <c r="F126" s="55">
        <f t="shared" si="23"/>
        <v>258647000</v>
      </c>
      <c r="G126" s="54"/>
      <c r="H126" s="2"/>
    </row>
    <row r="127" spans="1:8" ht="43.9" customHeight="1">
      <c r="A127" s="93">
        <v>3700000</v>
      </c>
      <c r="B127" s="94"/>
      <c r="C127" s="48" t="s">
        <v>145</v>
      </c>
      <c r="D127" s="29">
        <f>D128</f>
        <v>1223369106</v>
      </c>
      <c r="E127" s="130">
        <f>E128</f>
        <v>1893080</v>
      </c>
      <c r="F127" s="155">
        <f t="shared" si="20"/>
        <v>1225262186</v>
      </c>
      <c r="G127" s="54"/>
      <c r="H127" s="2"/>
    </row>
    <row r="128" spans="1:8" ht="36.6" customHeight="1">
      <c r="A128" s="93">
        <v>3710000</v>
      </c>
      <c r="B128" s="48"/>
      <c r="C128" s="48" t="s">
        <v>145</v>
      </c>
      <c r="D128" s="29">
        <v>1223369106</v>
      </c>
      <c r="E128" s="130">
        <f>E129+E144+E138</f>
        <v>1893080</v>
      </c>
      <c r="F128" s="155">
        <f t="shared" si="20"/>
        <v>1225262186</v>
      </c>
      <c r="G128" s="54"/>
      <c r="H128" s="2"/>
    </row>
    <row r="129" spans="1:8" ht="27" customHeight="1">
      <c r="A129" s="65">
        <v>3719150</v>
      </c>
      <c r="B129" s="65">
        <v>9150</v>
      </c>
      <c r="C129" s="95" t="s">
        <v>146</v>
      </c>
      <c r="D129" s="44">
        <f>SUM(D131:D137)</f>
        <v>207397856</v>
      </c>
      <c r="E129" s="46">
        <f>SUM(E131:E137)</f>
        <v>4581880</v>
      </c>
      <c r="F129" s="44">
        <f t="shared" ref="F129" si="24">D129+E129</f>
        <v>211979736</v>
      </c>
      <c r="G129" s="54"/>
      <c r="H129" s="2"/>
    </row>
    <row r="130" spans="1:8" ht="31.9" customHeight="1">
      <c r="A130" s="65"/>
      <c r="B130" s="96"/>
      <c r="C130" s="97" t="s">
        <v>316</v>
      </c>
      <c r="D130" s="44"/>
      <c r="E130" s="46"/>
      <c r="F130" s="44"/>
      <c r="G130" s="54"/>
      <c r="H130" s="2"/>
    </row>
    <row r="131" spans="1:8" ht="21.6" customHeight="1">
      <c r="A131" s="65"/>
      <c r="B131" s="96"/>
      <c r="C131" s="98" t="s">
        <v>147</v>
      </c>
      <c r="D131" s="55">
        <f>26128100+5500+360190+36272+1000</f>
        <v>26531062</v>
      </c>
      <c r="E131" s="67">
        <f>119400+60000</f>
        <v>179400</v>
      </c>
      <c r="F131" s="55">
        <f t="shared" ref="F131:F138" si="25">D131+E131</f>
        <v>26710462</v>
      </c>
      <c r="G131" s="54"/>
      <c r="H131" s="2"/>
    </row>
    <row r="132" spans="1:8" ht="19.149999999999999" customHeight="1">
      <c r="A132" s="65"/>
      <c r="B132" s="96"/>
      <c r="C132" s="98" t="s">
        <v>148</v>
      </c>
      <c r="D132" s="55">
        <f>26280700+5000+1235</f>
        <v>26286935</v>
      </c>
      <c r="E132" s="67">
        <v>170800</v>
      </c>
      <c r="F132" s="55">
        <f t="shared" si="25"/>
        <v>26457735</v>
      </c>
      <c r="G132" s="54"/>
      <c r="H132" s="2"/>
    </row>
    <row r="133" spans="1:8" ht="22.9" customHeight="1">
      <c r="A133" s="65"/>
      <c r="B133" s="96"/>
      <c r="C133" s="98" t="s">
        <v>149</v>
      </c>
      <c r="D133" s="55">
        <f>32683000+5500+1000</f>
        <v>32689500</v>
      </c>
      <c r="E133" s="67">
        <f>254900+400000+483845</f>
        <v>1138745</v>
      </c>
      <c r="F133" s="55">
        <f t="shared" si="25"/>
        <v>33828245</v>
      </c>
      <c r="G133" s="54"/>
      <c r="H133" s="2"/>
    </row>
    <row r="134" spans="1:8" ht="21.6" customHeight="1">
      <c r="A134" s="65"/>
      <c r="B134" s="96"/>
      <c r="C134" s="98" t="s">
        <v>150</v>
      </c>
      <c r="D134" s="55">
        <f>25894400+11000+466480+352269+2000</f>
        <v>26726149</v>
      </c>
      <c r="E134" s="67">
        <f>228400+1400000+327335+30000</f>
        <v>1985735</v>
      </c>
      <c r="F134" s="55">
        <f t="shared" si="25"/>
        <v>28711884</v>
      </c>
      <c r="G134" s="54"/>
      <c r="H134" s="2"/>
    </row>
    <row r="135" spans="1:8" ht="20.45" customHeight="1">
      <c r="A135" s="65"/>
      <c r="B135" s="96"/>
      <c r="C135" s="98" t="s">
        <v>151</v>
      </c>
      <c r="D135" s="55">
        <f>39316500+5500+1000</f>
        <v>39323000</v>
      </c>
      <c r="E135" s="67">
        <f>110000+408000+205000</f>
        <v>723000</v>
      </c>
      <c r="F135" s="55">
        <f t="shared" si="25"/>
        <v>40046000</v>
      </c>
      <c r="G135" s="54"/>
      <c r="H135" s="2"/>
    </row>
    <row r="136" spans="1:8" ht="24.6" customHeight="1">
      <c r="A136" s="65"/>
      <c r="B136" s="96"/>
      <c r="C136" s="98" t="s">
        <v>152</v>
      </c>
      <c r="D136" s="55">
        <f>28408100+5000+1000</f>
        <v>28414100</v>
      </c>
      <c r="E136" s="67">
        <v>165600</v>
      </c>
      <c r="F136" s="55">
        <f t="shared" si="25"/>
        <v>28579700</v>
      </c>
      <c r="G136" s="54"/>
      <c r="H136" s="2"/>
    </row>
    <row r="137" spans="1:8" ht="26.45" customHeight="1">
      <c r="A137" s="65"/>
      <c r="B137" s="99"/>
      <c r="C137" s="98" t="s">
        <v>153</v>
      </c>
      <c r="D137" s="55">
        <f>27402400+5500+18210+1000</f>
        <v>27427110</v>
      </c>
      <c r="E137" s="67">
        <f>158600+60000</f>
        <v>218600</v>
      </c>
      <c r="F137" s="55">
        <f t="shared" si="25"/>
        <v>27645710</v>
      </c>
      <c r="G137" s="54"/>
      <c r="H137" s="2"/>
    </row>
    <row r="138" spans="1:8" ht="249.75" customHeight="1">
      <c r="A138" s="136">
        <v>3719230</v>
      </c>
      <c r="B138" s="65" t="s">
        <v>307</v>
      </c>
      <c r="C138" s="135" t="s">
        <v>308</v>
      </c>
      <c r="D138" s="44">
        <v>796662400</v>
      </c>
      <c r="E138" s="46">
        <f>SUM(E140:E143)</f>
        <v>-7688800</v>
      </c>
      <c r="F138" s="44">
        <f t="shared" si="25"/>
        <v>788973600</v>
      </c>
      <c r="G138" s="54"/>
      <c r="H138" s="2"/>
    </row>
    <row r="139" spans="1:8" ht="31.9" customHeight="1">
      <c r="A139" s="65"/>
      <c r="B139" s="96"/>
      <c r="C139" s="97" t="s">
        <v>316</v>
      </c>
      <c r="D139" s="44"/>
      <c r="E139" s="46"/>
      <c r="F139" s="44"/>
      <c r="G139" s="54"/>
      <c r="H139" s="2"/>
    </row>
    <row r="140" spans="1:8" ht="26.45" customHeight="1">
      <c r="A140" s="65"/>
      <c r="B140" s="96"/>
      <c r="C140" s="98" t="s">
        <v>148</v>
      </c>
      <c r="D140" s="55">
        <f>133163300+4826900</f>
        <v>137990200</v>
      </c>
      <c r="E140" s="67">
        <v>-1980300</v>
      </c>
      <c r="F140" s="55">
        <f t="shared" ref="F140:F143" si="26">D140+E140</f>
        <v>136009900</v>
      </c>
      <c r="G140" s="54"/>
      <c r="H140" s="2"/>
    </row>
    <row r="141" spans="1:8" ht="26.45" customHeight="1">
      <c r="A141" s="65"/>
      <c r="B141" s="96"/>
      <c r="C141" s="98" t="s">
        <v>150</v>
      </c>
      <c r="D141" s="55">
        <f>63771000+1813900</f>
        <v>65584900</v>
      </c>
      <c r="E141" s="67">
        <v>-2015800</v>
      </c>
      <c r="F141" s="55">
        <f t="shared" si="26"/>
        <v>63569100</v>
      </c>
      <c r="G141" s="54"/>
      <c r="H141" s="2"/>
    </row>
    <row r="142" spans="1:8" ht="26.45" customHeight="1">
      <c r="A142" s="65"/>
      <c r="B142" s="96"/>
      <c r="C142" s="98" t="s">
        <v>151</v>
      </c>
      <c r="D142" s="55">
        <f>142982200+3934200</f>
        <v>146916400</v>
      </c>
      <c r="E142" s="67">
        <v>-1445100</v>
      </c>
      <c r="F142" s="55">
        <f t="shared" si="26"/>
        <v>145471300</v>
      </c>
      <c r="G142" s="54"/>
      <c r="H142" s="2"/>
    </row>
    <row r="143" spans="1:8" ht="26.45" customHeight="1">
      <c r="A143" s="65"/>
      <c r="B143" s="99"/>
      <c r="C143" s="98" t="s">
        <v>153</v>
      </c>
      <c r="D143" s="55">
        <f>103277200+3985000</f>
        <v>107262200</v>
      </c>
      <c r="E143" s="67">
        <v>-2247600</v>
      </c>
      <c r="F143" s="55">
        <f t="shared" si="26"/>
        <v>105014600</v>
      </c>
      <c r="G143" s="54"/>
      <c r="H143" s="2"/>
    </row>
    <row r="144" spans="1:8" ht="96.6" customHeight="1">
      <c r="A144" s="65" t="s">
        <v>300</v>
      </c>
      <c r="B144" s="65" t="s">
        <v>301</v>
      </c>
      <c r="C144" s="95" t="s">
        <v>302</v>
      </c>
      <c r="D144" s="55">
        <f>SUM(D146:D148)</f>
        <v>0</v>
      </c>
      <c r="E144" s="46">
        <f>SUM(E146:E148)</f>
        <v>5000000</v>
      </c>
      <c r="F144" s="55">
        <f t="shared" si="20"/>
        <v>5000000</v>
      </c>
      <c r="G144" s="54"/>
      <c r="H144" s="2"/>
    </row>
    <row r="145" spans="1:8" ht="33" customHeight="1">
      <c r="A145" s="65"/>
      <c r="B145" s="96"/>
      <c r="C145" s="97" t="s">
        <v>316</v>
      </c>
      <c r="D145" s="44"/>
      <c r="E145" s="46"/>
      <c r="F145" s="44"/>
      <c r="G145" s="54"/>
      <c r="H145" s="2"/>
    </row>
    <row r="146" spans="1:8" ht="25.15" customHeight="1">
      <c r="A146" s="65"/>
      <c r="B146" s="96"/>
      <c r="C146" s="98" t="s">
        <v>147</v>
      </c>
      <c r="D146" s="55">
        <v>0</v>
      </c>
      <c r="E146" s="67">
        <v>2000000</v>
      </c>
      <c r="F146" s="55">
        <f t="shared" ref="F146:F147" si="27">D146+E146</f>
        <v>2000000</v>
      </c>
      <c r="G146" s="54"/>
      <c r="H146" s="2"/>
    </row>
    <row r="147" spans="1:8" ht="22.15" customHeight="1">
      <c r="A147" s="65"/>
      <c r="B147" s="96"/>
      <c r="C147" s="98" t="s">
        <v>150</v>
      </c>
      <c r="D147" s="55">
        <v>0</v>
      </c>
      <c r="E147" s="67">
        <v>1000000</v>
      </c>
      <c r="F147" s="55">
        <f t="shared" si="27"/>
        <v>1000000</v>
      </c>
      <c r="G147" s="54"/>
      <c r="H147" s="2"/>
    </row>
    <row r="148" spans="1:8" ht="24.6" customHeight="1" thickBot="1">
      <c r="A148" s="65"/>
      <c r="B148" s="99"/>
      <c r="C148" s="98" t="s">
        <v>153</v>
      </c>
      <c r="D148" s="55">
        <v>0</v>
      </c>
      <c r="E148" s="127">
        <v>2000000</v>
      </c>
      <c r="F148" s="55">
        <f t="shared" si="20"/>
        <v>2000000</v>
      </c>
      <c r="G148" s="54"/>
      <c r="H148" s="2"/>
    </row>
    <row r="149" spans="1:8" ht="37.9" customHeight="1">
      <c r="A149" s="40"/>
      <c r="B149" s="62"/>
      <c r="C149" s="37" t="s">
        <v>8</v>
      </c>
      <c r="D149" s="50">
        <f>770789362.59+58667-29106027.46+11709492+485000</f>
        <v>753936494.13</v>
      </c>
      <c r="E149" s="27">
        <f>E151+E175+E182+E188+E202+E225+E231+E238+E244+E249+E257</f>
        <v>61007074</v>
      </c>
      <c r="F149" s="27">
        <f t="shared" ref="F149:F150" si="28">D149+E149</f>
        <v>814943568.13</v>
      </c>
      <c r="G149" s="7"/>
      <c r="H149" s="76"/>
    </row>
    <row r="150" spans="1:8" ht="25.5" customHeight="1" thickBot="1">
      <c r="A150" s="41"/>
      <c r="B150" s="63"/>
      <c r="C150" s="38" t="s">
        <v>6</v>
      </c>
      <c r="D150" s="28">
        <f>504534410.99</f>
        <v>504534410.99000001</v>
      </c>
      <c r="E150" s="28">
        <f>E153+E177+E184+E190+E204+E251+E259</f>
        <v>52569698</v>
      </c>
      <c r="F150" s="28">
        <f t="shared" si="28"/>
        <v>557104108.99000001</v>
      </c>
      <c r="G150" s="7"/>
      <c r="H150" s="2"/>
    </row>
    <row r="151" spans="1:8" ht="47.25" customHeight="1">
      <c r="A151" s="71" t="s">
        <v>23</v>
      </c>
      <c r="B151" s="48"/>
      <c r="C151" s="48" t="s">
        <v>24</v>
      </c>
      <c r="D151" s="29">
        <f>D152</f>
        <v>155843725.18000001</v>
      </c>
      <c r="E151" s="29">
        <f>E152</f>
        <v>9452520</v>
      </c>
      <c r="F151" s="29">
        <f t="shared" ref="F151:F156" si="29">D151+E151</f>
        <v>165296245.18000001</v>
      </c>
      <c r="G151" s="7"/>
      <c r="H151" s="7"/>
    </row>
    <row r="152" spans="1:8" ht="41.25" customHeight="1">
      <c r="A152" s="71" t="s">
        <v>25</v>
      </c>
      <c r="B152" s="48"/>
      <c r="C152" s="48" t="s">
        <v>24</v>
      </c>
      <c r="D152" s="29">
        <v>155843725.18000001</v>
      </c>
      <c r="E152" s="29">
        <f>E156+E158+E160+E162+E167+E170+E154</f>
        <v>9452520</v>
      </c>
      <c r="F152" s="29">
        <f t="shared" si="29"/>
        <v>165296245.18000001</v>
      </c>
      <c r="G152" s="7"/>
      <c r="H152" s="7"/>
    </row>
    <row r="153" spans="1:8" ht="23.25" customHeight="1">
      <c r="A153" s="73"/>
      <c r="B153" s="66"/>
      <c r="C153" s="66" t="s">
        <v>6</v>
      </c>
      <c r="D153" s="45">
        <v>66101940.18</v>
      </c>
      <c r="E153" s="45">
        <f>E157+E159+E161+E164+E166+E169+E172+E155</f>
        <v>9452520</v>
      </c>
      <c r="F153" s="45">
        <f t="shared" si="29"/>
        <v>75554460.180000007</v>
      </c>
      <c r="G153" s="7"/>
      <c r="H153" s="7"/>
    </row>
    <row r="154" spans="1:8" ht="23.25" customHeight="1">
      <c r="A154" s="72" t="s">
        <v>45</v>
      </c>
      <c r="B154" s="69" t="s">
        <v>46</v>
      </c>
      <c r="C154" s="77" t="s">
        <v>47</v>
      </c>
      <c r="D154" s="44">
        <v>42713308</v>
      </c>
      <c r="E154" s="44">
        <f>E155</f>
        <v>47400</v>
      </c>
      <c r="F154" s="44">
        <f t="shared" ref="F154:F155" si="30">D154+E154</f>
        <v>42760708</v>
      </c>
      <c r="G154" s="7"/>
      <c r="H154" s="7"/>
    </row>
    <row r="155" spans="1:8" ht="23.25" customHeight="1">
      <c r="A155" s="79"/>
      <c r="B155" s="80"/>
      <c r="C155" s="47" t="s">
        <v>6</v>
      </c>
      <c r="D155" s="78">
        <v>1017590</v>
      </c>
      <c r="E155" s="78">
        <v>47400</v>
      </c>
      <c r="F155" s="78">
        <f t="shared" si="30"/>
        <v>1064990</v>
      </c>
      <c r="G155" s="7"/>
      <c r="H155" s="7"/>
    </row>
    <row r="156" spans="1:8" ht="110.45" customHeight="1">
      <c r="A156" s="72" t="s">
        <v>31</v>
      </c>
      <c r="B156" s="69" t="s">
        <v>32</v>
      </c>
      <c r="C156" s="77" t="s">
        <v>33</v>
      </c>
      <c r="D156" s="44">
        <v>55747127</v>
      </c>
      <c r="E156" s="44">
        <f>E157</f>
        <v>512553</v>
      </c>
      <c r="F156" s="44">
        <f t="shared" si="29"/>
        <v>56259680</v>
      </c>
      <c r="G156" s="7"/>
      <c r="H156" s="7"/>
    </row>
    <row r="157" spans="1:8" ht="23.25" customHeight="1">
      <c r="A157" s="79"/>
      <c r="B157" s="80"/>
      <c r="C157" s="47" t="s">
        <v>6</v>
      </c>
      <c r="D157" s="78">
        <v>19700703</v>
      </c>
      <c r="E157" s="78">
        <v>512553</v>
      </c>
      <c r="F157" s="78">
        <f t="shared" ref="F157:F173" si="31">D157+E157</f>
        <v>20213256</v>
      </c>
      <c r="G157" s="7"/>
      <c r="H157" s="7"/>
    </row>
    <row r="158" spans="1:8" ht="75">
      <c r="A158" s="65" t="s">
        <v>67</v>
      </c>
      <c r="B158" s="65" t="s">
        <v>68</v>
      </c>
      <c r="C158" s="81" t="s">
        <v>69</v>
      </c>
      <c r="D158" s="46">
        <v>2711737</v>
      </c>
      <c r="E158" s="57">
        <f>E159</f>
        <v>62000</v>
      </c>
      <c r="F158" s="57">
        <f t="shared" si="31"/>
        <v>2773737</v>
      </c>
      <c r="G158" s="7"/>
      <c r="H158" s="7"/>
    </row>
    <row r="159" spans="1:8" ht="23.25" customHeight="1">
      <c r="A159" s="72"/>
      <c r="B159" s="69"/>
      <c r="C159" s="47" t="s">
        <v>6</v>
      </c>
      <c r="D159" s="78">
        <v>1724000</v>
      </c>
      <c r="E159" s="78">
        <v>62000</v>
      </c>
      <c r="F159" s="55">
        <f t="shared" si="31"/>
        <v>1786000</v>
      </c>
      <c r="G159" s="7"/>
      <c r="H159" s="7"/>
    </row>
    <row r="160" spans="1:8" ht="36" customHeight="1">
      <c r="A160" s="72" t="s">
        <v>236</v>
      </c>
      <c r="B160" s="69" t="s">
        <v>237</v>
      </c>
      <c r="C160" s="77" t="s">
        <v>238</v>
      </c>
      <c r="D160" s="57">
        <v>150000</v>
      </c>
      <c r="E160" s="57">
        <f>E161</f>
        <v>-150000</v>
      </c>
      <c r="F160" s="57">
        <f t="shared" si="31"/>
        <v>0</v>
      </c>
      <c r="G160" s="7"/>
      <c r="H160" s="7"/>
    </row>
    <row r="161" spans="1:8" ht="21" customHeight="1">
      <c r="A161" s="72"/>
      <c r="B161" s="69"/>
      <c r="C161" s="47" t="s">
        <v>6</v>
      </c>
      <c r="D161" s="78">
        <v>150000</v>
      </c>
      <c r="E161" s="78">
        <v>-150000</v>
      </c>
      <c r="F161" s="55">
        <f t="shared" ref="F161" si="32">D161+E161</f>
        <v>0</v>
      </c>
      <c r="G161" s="7"/>
      <c r="H161" s="7"/>
    </row>
    <row r="162" spans="1:8" ht="36.6" customHeight="1">
      <c r="A162" s="72" t="s">
        <v>26</v>
      </c>
      <c r="B162" s="69" t="s">
        <v>70</v>
      </c>
      <c r="C162" s="81" t="s">
        <v>27</v>
      </c>
      <c r="D162" s="46">
        <v>21264178.289999999</v>
      </c>
      <c r="E162" s="57">
        <f>E163+E165</f>
        <v>5760567</v>
      </c>
      <c r="F162" s="57">
        <f t="shared" si="31"/>
        <v>27024745.289999999</v>
      </c>
      <c r="G162" s="7"/>
      <c r="H162" s="7"/>
    </row>
    <row r="163" spans="1:8" ht="36.6" customHeight="1">
      <c r="A163" s="68" t="s">
        <v>194</v>
      </c>
      <c r="B163" s="68" t="s">
        <v>193</v>
      </c>
      <c r="C163" s="82" t="s">
        <v>192</v>
      </c>
      <c r="D163" s="67">
        <v>285845</v>
      </c>
      <c r="E163" s="78">
        <f>E164</f>
        <v>230250</v>
      </c>
      <c r="F163" s="78">
        <f t="shared" si="31"/>
        <v>516095</v>
      </c>
      <c r="G163" s="7"/>
      <c r="H163" s="7"/>
    </row>
    <row r="164" spans="1:8" ht="27.6" customHeight="1">
      <c r="A164" s="72"/>
      <c r="B164" s="69"/>
      <c r="C164" s="47" t="s">
        <v>6</v>
      </c>
      <c r="D164" s="78">
        <v>0</v>
      </c>
      <c r="E164" s="78">
        <v>230250</v>
      </c>
      <c r="F164" s="55">
        <f t="shared" ref="F164" si="33">D164+E164</f>
        <v>230250</v>
      </c>
      <c r="G164" s="7"/>
      <c r="H164" s="7"/>
    </row>
    <row r="165" spans="1:8" ht="37.5">
      <c r="A165" s="68" t="s">
        <v>28</v>
      </c>
      <c r="B165" s="68" t="s">
        <v>29</v>
      </c>
      <c r="C165" s="82" t="s">
        <v>30</v>
      </c>
      <c r="D165" s="67">
        <v>20978333.289999999</v>
      </c>
      <c r="E165" s="78">
        <f>E166</f>
        <v>5530317</v>
      </c>
      <c r="F165" s="78">
        <f t="shared" si="31"/>
        <v>26508650.289999999</v>
      </c>
      <c r="G165" s="7"/>
      <c r="H165" s="7"/>
    </row>
    <row r="166" spans="1:8" ht="24" customHeight="1">
      <c r="A166" s="72"/>
      <c r="B166" s="69"/>
      <c r="C166" s="47" t="s">
        <v>6</v>
      </c>
      <c r="D166" s="78">
        <v>20978333.289999999</v>
      </c>
      <c r="E166" s="78">
        <f>5120317+410000</f>
        <v>5530317</v>
      </c>
      <c r="F166" s="55">
        <f t="shared" si="31"/>
        <v>26508650.289999999</v>
      </c>
      <c r="G166" s="7"/>
      <c r="H166" s="7"/>
    </row>
    <row r="167" spans="1:8" ht="40.9" customHeight="1">
      <c r="A167" s="72" t="s">
        <v>74</v>
      </c>
      <c r="B167" s="69" t="s">
        <v>71</v>
      </c>
      <c r="C167" s="81" t="s">
        <v>75</v>
      </c>
      <c r="D167" s="46">
        <v>13792869.01</v>
      </c>
      <c r="E167" s="57">
        <f>E168</f>
        <v>75000</v>
      </c>
      <c r="F167" s="57">
        <f t="shared" si="31"/>
        <v>13867869.01</v>
      </c>
      <c r="G167" s="7"/>
      <c r="H167" s="7"/>
    </row>
    <row r="168" spans="1:8" ht="55.9" customHeight="1">
      <c r="A168" s="68" t="s">
        <v>73</v>
      </c>
      <c r="B168" s="68" t="s">
        <v>72</v>
      </c>
      <c r="C168" s="82" t="s">
        <v>76</v>
      </c>
      <c r="D168" s="67">
        <v>13792869.01</v>
      </c>
      <c r="E168" s="78">
        <f>E169</f>
        <v>75000</v>
      </c>
      <c r="F168" s="78">
        <f t="shared" si="31"/>
        <v>13867869.01</v>
      </c>
      <c r="G168" s="7"/>
      <c r="H168" s="7"/>
    </row>
    <row r="169" spans="1:8" ht="24" customHeight="1">
      <c r="A169" s="72"/>
      <c r="B169" s="69"/>
      <c r="C169" s="47" t="s">
        <v>6</v>
      </c>
      <c r="D169" s="78">
        <v>11332413.01</v>
      </c>
      <c r="E169" s="78">
        <v>75000</v>
      </c>
      <c r="F169" s="55">
        <f t="shared" si="31"/>
        <v>11407413.01</v>
      </c>
      <c r="G169" s="7"/>
      <c r="H169" s="7"/>
    </row>
    <row r="170" spans="1:8" ht="24" customHeight="1">
      <c r="A170" s="72" t="s">
        <v>213</v>
      </c>
      <c r="B170" s="69" t="s">
        <v>315</v>
      </c>
      <c r="C170" s="77" t="s">
        <v>208</v>
      </c>
      <c r="D170" s="46">
        <f>D171</f>
        <v>11130248.880000001</v>
      </c>
      <c r="E170" s="46">
        <f>E171</f>
        <v>3145000</v>
      </c>
      <c r="F170" s="44">
        <f t="shared" si="31"/>
        <v>14275248.880000001</v>
      </c>
      <c r="G170" s="7"/>
      <c r="H170" s="7"/>
    </row>
    <row r="171" spans="1:8" ht="79.900000000000006" customHeight="1">
      <c r="A171" s="85" t="s">
        <v>214</v>
      </c>
      <c r="B171" s="86" t="s">
        <v>207</v>
      </c>
      <c r="C171" s="84" t="s">
        <v>209</v>
      </c>
      <c r="D171" s="67">
        <f>D172</f>
        <v>11130248.880000001</v>
      </c>
      <c r="E171" s="55">
        <f>E172</f>
        <v>3145000</v>
      </c>
      <c r="F171" s="55">
        <f t="shared" si="31"/>
        <v>14275248.880000001</v>
      </c>
      <c r="G171" s="7"/>
      <c r="H171" s="7"/>
    </row>
    <row r="172" spans="1:8" ht="24" customHeight="1">
      <c r="A172" s="56"/>
      <c r="B172" s="56"/>
      <c r="C172" s="47" t="s">
        <v>6</v>
      </c>
      <c r="D172" s="67">
        <v>11130248.880000001</v>
      </c>
      <c r="E172" s="55">
        <f>2000000+513200+60000+981800-410000</f>
        <v>3145000</v>
      </c>
      <c r="F172" s="55">
        <f t="shared" si="31"/>
        <v>14275248.880000001</v>
      </c>
      <c r="G172" s="7"/>
      <c r="H172" s="7"/>
    </row>
    <row r="173" spans="1:8" ht="85.9" customHeight="1">
      <c r="A173" s="56"/>
      <c r="B173" s="56"/>
      <c r="C173" s="47" t="s">
        <v>215</v>
      </c>
      <c r="D173" s="55">
        <v>10874265.880000001</v>
      </c>
      <c r="E173" s="55">
        <f>513200</f>
        <v>513200</v>
      </c>
      <c r="F173" s="55">
        <f t="shared" si="31"/>
        <v>11387465.880000001</v>
      </c>
      <c r="G173" s="7"/>
      <c r="H173" s="7"/>
    </row>
    <row r="174" spans="1:8" ht="73.150000000000006" customHeight="1">
      <c r="A174" s="79"/>
      <c r="B174" s="80"/>
      <c r="C174" s="47" t="s">
        <v>216</v>
      </c>
      <c r="D174" s="55">
        <v>0</v>
      </c>
      <c r="E174" s="55">
        <f>2000000-410000</f>
        <v>1590000</v>
      </c>
      <c r="F174" s="55">
        <f t="shared" ref="F174" si="34">D174+E174</f>
        <v>1590000</v>
      </c>
      <c r="G174" s="7"/>
      <c r="H174" s="7"/>
    </row>
    <row r="175" spans="1:8" ht="39" customHeight="1">
      <c r="A175" s="71" t="s">
        <v>158</v>
      </c>
      <c r="B175" s="48"/>
      <c r="C175" s="48" t="s">
        <v>159</v>
      </c>
      <c r="D175" s="29">
        <f>D176</f>
        <v>90167870.540000007</v>
      </c>
      <c r="E175" s="29">
        <f>E176</f>
        <v>60000</v>
      </c>
      <c r="F175" s="29">
        <f t="shared" ref="F175:F177" si="35">D175+E175</f>
        <v>90227870.540000007</v>
      </c>
      <c r="G175" s="7"/>
      <c r="H175" s="7"/>
    </row>
    <row r="176" spans="1:8" ht="38.450000000000003" customHeight="1">
      <c r="A176" s="71" t="s">
        <v>160</v>
      </c>
      <c r="B176" s="48"/>
      <c r="C176" s="48" t="s">
        <v>159</v>
      </c>
      <c r="D176" s="29">
        <v>90167870.540000007</v>
      </c>
      <c r="E176" s="29">
        <f>E178+E180</f>
        <v>60000</v>
      </c>
      <c r="F176" s="29">
        <f t="shared" si="35"/>
        <v>90227870.540000007</v>
      </c>
      <c r="G176" s="7"/>
      <c r="H176" s="7"/>
    </row>
    <row r="177" spans="1:8" ht="23.45" customHeight="1">
      <c r="A177" s="73"/>
      <c r="B177" s="66"/>
      <c r="C177" s="66" t="s">
        <v>6</v>
      </c>
      <c r="D177" s="45">
        <v>61869135.539999999</v>
      </c>
      <c r="E177" s="45">
        <f>E179+E181</f>
        <v>60000</v>
      </c>
      <c r="F177" s="45">
        <f t="shared" si="35"/>
        <v>61929135.539999999</v>
      </c>
      <c r="G177" s="7"/>
      <c r="H177" s="7"/>
    </row>
    <row r="178" spans="1:8" ht="37.15" customHeight="1">
      <c r="A178" s="72" t="s">
        <v>163</v>
      </c>
      <c r="B178" s="69" t="s">
        <v>162</v>
      </c>
      <c r="C178" s="77" t="s">
        <v>161</v>
      </c>
      <c r="D178" s="57">
        <v>52020546</v>
      </c>
      <c r="E178" s="57">
        <f>E179</f>
        <v>30000</v>
      </c>
      <c r="F178" s="57">
        <f>D178+E178</f>
        <v>52050546</v>
      </c>
      <c r="G178" s="7"/>
      <c r="H178" s="7"/>
    </row>
    <row r="179" spans="1:8" ht="23.45" customHeight="1">
      <c r="A179" s="79"/>
      <c r="B179" s="80"/>
      <c r="C179" s="47" t="s">
        <v>6</v>
      </c>
      <c r="D179" s="78">
        <v>41198703</v>
      </c>
      <c r="E179" s="78">
        <v>30000</v>
      </c>
      <c r="F179" s="55">
        <f t="shared" ref="F179" si="36">D179+E179</f>
        <v>41228703</v>
      </c>
      <c r="G179" s="7"/>
      <c r="H179" s="7"/>
    </row>
    <row r="180" spans="1:8" ht="58.9" customHeight="1">
      <c r="A180" s="72" t="s">
        <v>166</v>
      </c>
      <c r="B180" s="69" t="s">
        <v>165</v>
      </c>
      <c r="C180" s="77" t="s">
        <v>164</v>
      </c>
      <c r="D180" s="57">
        <v>3128540</v>
      </c>
      <c r="E180" s="57">
        <f>E181</f>
        <v>30000</v>
      </c>
      <c r="F180" s="57">
        <f>D180+E180</f>
        <v>3158540</v>
      </c>
      <c r="G180" s="7"/>
      <c r="H180" s="7"/>
    </row>
    <row r="181" spans="1:8" ht="23.45" customHeight="1">
      <c r="A181" s="79"/>
      <c r="B181" s="80"/>
      <c r="C181" s="47" t="s">
        <v>6</v>
      </c>
      <c r="D181" s="78">
        <v>3015900</v>
      </c>
      <c r="E181" s="78">
        <v>30000</v>
      </c>
      <c r="F181" s="55">
        <f t="shared" ref="F181" si="37">D181+E181</f>
        <v>3045900</v>
      </c>
      <c r="G181" s="7"/>
      <c r="H181" s="7"/>
    </row>
    <row r="182" spans="1:8" ht="42" customHeight="1">
      <c r="A182" s="71" t="s">
        <v>49</v>
      </c>
      <c r="B182" s="48"/>
      <c r="C182" s="48" t="s">
        <v>51</v>
      </c>
      <c r="D182" s="29">
        <f>D183</f>
        <v>2507713</v>
      </c>
      <c r="E182" s="29">
        <f>E183</f>
        <v>362762</v>
      </c>
      <c r="F182" s="29">
        <f t="shared" ref="F182:F184" si="38">D182+E182</f>
        <v>2870475</v>
      </c>
      <c r="G182" s="7"/>
      <c r="H182" s="7"/>
    </row>
    <row r="183" spans="1:8" ht="39" customHeight="1">
      <c r="A183" s="71" t="s">
        <v>50</v>
      </c>
      <c r="B183" s="48"/>
      <c r="C183" s="48" t="s">
        <v>51</v>
      </c>
      <c r="D183" s="29">
        <v>2507713</v>
      </c>
      <c r="E183" s="29">
        <f>E185</f>
        <v>362762</v>
      </c>
      <c r="F183" s="29">
        <f t="shared" si="38"/>
        <v>2870475</v>
      </c>
      <c r="G183" s="7"/>
      <c r="H183" s="7"/>
    </row>
    <row r="184" spans="1:8" ht="23.45" customHeight="1">
      <c r="A184" s="73"/>
      <c r="B184" s="66"/>
      <c r="C184" s="66" t="s">
        <v>6</v>
      </c>
      <c r="D184" s="45">
        <v>301496</v>
      </c>
      <c r="E184" s="45">
        <f>E187</f>
        <v>362762</v>
      </c>
      <c r="F184" s="45">
        <f t="shared" si="38"/>
        <v>664258</v>
      </c>
      <c r="G184" s="7"/>
      <c r="H184" s="7"/>
    </row>
    <row r="185" spans="1:8" ht="23.45" customHeight="1">
      <c r="A185" s="101" t="s">
        <v>157</v>
      </c>
      <c r="B185" s="92">
        <v>3240</v>
      </c>
      <c r="C185" s="100" t="s">
        <v>40</v>
      </c>
      <c r="D185" s="57">
        <v>2434817</v>
      </c>
      <c r="E185" s="57">
        <f>E186</f>
        <v>362762</v>
      </c>
      <c r="F185" s="57">
        <f>D185+E185</f>
        <v>2797579</v>
      </c>
      <c r="G185" s="7"/>
      <c r="H185" s="7"/>
    </row>
    <row r="186" spans="1:8" ht="53.45" customHeight="1">
      <c r="A186" s="102" t="s">
        <v>235</v>
      </c>
      <c r="B186" s="80">
        <v>3241</v>
      </c>
      <c r="C186" s="89" t="s">
        <v>41</v>
      </c>
      <c r="D186" s="78">
        <v>2434817</v>
      </c>
      <c r="E186" s="78">
        <f>E187</f>
        <v>362762</v>
      </c>
      <c r="F186" s="55">
        <f t="shared" ref="F186" si="39">D186+E186</f>
        <v>2797579</v>
      </c>
      <c r="G186" s="7"/>
      <c r="H186" s="7"/>
    </row>
    <row r="187" spans="1:8" ht="23.45" customHeight="1">
      <c r="A187" s="79"/>
      <c r="B187" s="80"/>
      <c r="C187" s="47" t="s">
        <v>6</v>
      </c>
      <c r="D187" s="78">
        <v>250600</v>
      </c>
      <c r="E187" s="78">
        <f>362762</f>
        <v>362762</v>
      </c>
      <c r="F187" s="55">
        <f t="shared" ref="F187" si="40">D187+E187</f>
        <v>613362</v>
      </c>
      <c r="G187" s="7"/>
      <c r="H187" s="7"/>
    </row>
    <row r="188" spans="1:8" ht="39" customHeight="1">
      <c r="A188" s="71" t="s">
        <v>80</v>
      </c>
      <c r="B188" s="48"/>
      <c r="C188" s="48" t="s">
        <v>64</v>
      </c>
      <c r="D188" s="29">
        <f>D189</f>
        <v>33191849</v>
      </c>
      <c r="E188" s="29">
        <f>E189</f>
        <v>1488080</v>
      </c>
      <c r="F188" s="29">
        <f t="shared" ref="F188:F190" si="41">D188+E188</f>
        <v>34679929</v>
      </c>
      <c r="G188" s="7"/>
      <c r="H188" s="7"/>
    </row>
    <row r="189" spans="1:8" ht="43.9" customHeight="1">
      <c r="A189" s="71" t="s">
        <v>81</v>
      </c>
      <c r="B189" s="48"/>
      <c r="C189" s="48" t="s">
        <v>64</v>
      </c>
      <c r="D189" s="29">
        <f>32916849+275000</f>
        <v>33191849</v>
      </c>
      <c r="E189" s="29">
        <f>E191+E193+E195+E197+E199</f>
        <v>1488080</v>
      </c>
      <c r="F189" s="29">
        <f t="shared" si="41"/>
        <v>34679929</v>
      </c>
      <c r="G189" s="7"/>
      <c r="H189" s="7"/>
    </row>
    <row r="190" spans="1:8" ht="25.9" customHeight="1">
      <c r="A190" s="73"/>
      <c r="B190" s="66"/>
      <c r="C190" s="66" t="s">
        <v>6</v>
      </c>
      <c r="D190" s="45">
        <f>13079839+275000</f>
        <v>13354839</v>
      </c>
      <c r="E190" s="45">
        <f>E192+E194+E196+E198+E201</f>
        <v>1488080</v>
      </c>
      <c r="F190" s="45">
        <f t="shared" si="41"/>
        <v>14842919</v>
      </c>
      <c r="G190" s="7"/>
      <c r="H190" s="7"/>
    </row>
    <row r="191" spans="1:8" ht="76.900000000000006" customHeight="1">
      <c r="A191" s="72" t="s">
        <v>105</v>
      </c>
      <c r="B191" s="69" t="s">
        <v>106</v>
      </c>
      <c r="C191" s="77" t="s">
        <v>92</v>
      </c>
      <c r="D191" s="57">
        <f>9123386+75000</f>
        <v>9198386</v>
      </c>
      <c r="E191" s="57">
        <f>E192</f>
        <v>-4170</v>
      </c>
      <c r="F191" s="57">
        <f>D191+E191</f>
        <v>9194216</v>
      </c>
      <c r="G191" s="7"/>
      <c r="H191" s="7"/>
    </row>
    <row r="192" spans="1:8" ht="22.9" customHeight="1">
      <c r="A192" s="56"/>
      <c r="B192" s="56"/>
      <c r="C192" s="47" t="s">
        <v>6</v>
      </c>
      <c r="D192" s="67">
        <f>935712+75000</f>
        <v>1010712</v>
      </c>
      <c r="E192" s="55">
        <v>-4170</v>
      </c>
      <c r="F192" s="55">
        <f t="shared" ref="F192" si="42">D192+E192</f>
        <v>1006542</v>
      </c>
      <c r="G192" s="7"/>
      <c r="H192" s="7"/>
    </row>
    <row r="193" spans="1:8" ht="23.45" customHeight="1">
      <c r="A193" s="72" t="s">
        <v>107</v>
      </c>
      <c r="B193" s="69" t="s">
        <v>108</v>
      </c>
      <c r="C193" s="77" t="s">
        <v>109</v>
      </c>
      <c r="D193" s="57">
        <v>609420</v>
      </c>
      <c r="E193" s="57">
        <f>E194</f>
        <v>-9510</v>
      </c>
      <c r="F193" s="57">
        <f>D193+E193</f>
        <v>599910</v>
      </c>
      <c r="G193" s="7"/>
      <c r="H193" s="7"/>
    </row>
    <row r="194" spans="1:8" ht="23.45" customHeight="1">
      <c r="A194" s="56"/>
      <c r="B194" s="56"/>
      <c r="C194" s="47" t="s">
        <v>6</v>
      </c>
      <c r="D194" s="67">
        <v>503500</v>
      </c>
      <c r="E194" s="55">
        <v>-9510</v>
      </c>
      <c r="F194" s="55">
        <f t="shared" ref="F194" si="43">D194+E194</f>
        <v>493990</v>
      </c>
      <c r="G194" s="7"/>
      <c r="H194" s="7"/>
    </row>
    <row r="195" spans="1:8" ht="40.15" customHeight="1">
      <c r="A195" s="72" t="s">
        <v>110</v>
      </c>
      <c r="B195" s="69" t="s">
        <v>111</v>
      </c>
      <c r="C195" s="77" t="s">
        <v>112</v>
      </c>
      <c r="D195" s="57">
        <v>252600</v>
      </c>
      <c r="E195" s="57">
        <f>E196</f>
        <v>-56530</v>
      </c>
      <c r="F195" s="57">
        <f>D195+E195</f>
        <v>196070</v>
      </c>
      <c r="G195" s="7"/>
      <c r="H195" s="7"/>
    </row>
    <row r="196" spans="1:8" ht="23.45" customHeight="1">
      <c r="A196" s="56"/>
      <c r="B196" s="56"/>
      <c r="C196" s="47" t="s">
        <v>6</v>
      </c>
      <c r="D196" s="67">
        <v>132050</v>
      </c>
      <c r="E196" s="55">
        <v>-56530</v>
      </c>
      <c r="F196" s="55">
        <f t="shared" ref="F196" si="44">D196+E196</f>
        <v>75520</v>
      </c>
      <c r="G196" s="7"/>
      <c r="H196" s="7"/>
    </row>
    <row r="197" spans="1:8" ht="61.9" customHeight="1">
      <c r="A197" s="72" t="s">
        <v>93</v>
      </c>
      <c r="B197" s="69" t="s">
        <v>94</v>
      </c>
      <c r="C197" s="77" t="s">
        <v>95</v>
      </c>
      <c r="D197" s="57">
        <f>11652966+200000</f>
        <v>11852966</v>
      </c>
      <c r="E197" s="57">
        <f>E198</f>
        <v>1258290</v>
      </c>
      <c r="F197" s="57">
        <f>D197+E197</f>
        <v>13111256</v>
      </c>
      <c r="G197" s="7"/>
      <c r="H197" s="7"/>
    </row>
    <row r="198" spans="1:8" ht="23.45" customHeight="1">
      <c r="A198" s="56"/>
      <c r="B198" s="56"/>
      <c r="C198" s="47" t="s">
        <v>6</v>
      </c>
      <c r="D198" s="67">
        <f>11137971+200000</f>
        <v>11337971</v>
      </c>
      <c r="E198" s="55">
        <v>1258290</v>
      </c>
      <c r="F198" s="55">
        <f t="shared" ref="F198" si="45">D198+E198</f>
        <v>12596261</v>
      </c>
      <c r="G198" s="7"/>
      <c r="H198" s="7"/>
    </row>
    <row r="199" spans="1:8" ht="37.15" customHeight="1">
      <c r="A199" s="72" t="s">
        <v>115</v>
      </c>
      <c r="B199" s="69" t="s">
        <v>116</v>
      </c>
      <c r="C199" s="77" t="s">
        <v>113</v>
      </c>
      <c r="D199" s="57">
        <f>D200</f>
        <v>360606</v>
      </c>
      <c r="E199" s="57">
        <f>E200</f>
        <v>300000</v>
      </c>
      <c r="F199" s="57">
        <f>D199+E199</f>
        <v>660606</v>
      </c>
      <c r="G199" s="7"/>
      <c r="H199" s="7"/>
    </row>
    <row r="200" spans="1:8" ht="33.6" customHeight="1">
      <c r="A200" s="72" t="s">
        <v>118</v>
      </c>
      <c r="B200" s="69" t="s">
        <v>117</v>
      </c>
      <c r="C200" s="47" t="s">
        <v>114</v>
      </c>
      <c r="D200" s="78">
        <f>D201</f>
        <v>360606</v>
      </c>
      <c r="E200" s="78">
        <f>E201</f>
        <v>300000</v>
      </c>
      <c r="F200" s="78">
        <f>D200+E200</f>
        <v>660606</v>
      </c>
      <c r="G200" s="7"/>
      <c r="H200" s="7"/>
    </row>
    <row r="201" spans="1:8" ht="23.45" customHeight="1">
      <c r="A201" s="56"/>
      <c r="B201" s="56"/>
      <c r="C201" s="47" t="s">
        <v>6</v>
      </c>
      <c r="D201" s="67">
        <v>360606</v>
      </c>
      <c r="E201" s="55">
        <v>300000</v>
      </c>
      <c r="F201" s="55">
        <f t="shared" ref="F201" si="46">D201+E201</f>
        <v>660606</v>
      </c>
      <c r="G201" s="7"/>
      <c r="H201" s="7"/>
    </row>
    <row r="202" spans="1:8" ht="55.15" customHeight="1">
      <c r="A202" s="71" t="s">
        <v>35</v>
      </c>
      <c r="B202" s="48"/>
      <c r="C202" s="48" t="s">
        <v>34</v>
      </c>
      <c r="D202" s="29">
        <f>D203</f>
        <v>266336010</v>
      </c>
      <c r="E202" s="29">
        <f>E203</f>
        <v>57158812</v>
      </c>
      <c r="F202" s="29">
        <f t="shared" ref="F202:F268" si="47">D202+E202</f>
        <v>323494822</v>
      </c>
      <c r="G202" s="7"/>
      <c r="H202" s="2"/>
    </row>
    <row r="203" spans="1:8" ht="57" customHeight="1">
      <c r="A203" s="71" t="s">
        <v>36</v>
      </c>
      <c r="B203" s="48"/>
      <c r="C203" s="48" t="s">
        <v>34</v>
      </c>
      <c r="D203" s="29">
        <f>266126010+210000</f>
        <v>266336010</v>
      </c>
      <c r="E203" s="29">
        <f>E205+E211+E213+E215+E217+E220+E223</f>
        <v>57158812</v>
      </c>
      <c r="F203" s="29">
        <f t="shared" si="47"/>
        <v>323494822</v>
      </c>
      <c r="G203" s="7"/>
      <c r="H203" s="2"/>
    </row>
    <row r="204" spans="1:8" ht="24.75" customHeight="1">
      <c r="A204" s="73"/>
      <c r="B204" s="66"/>
      <c r="C204" s="66" t="s">
        <v>6</v>
      </c>
      <c r="D204" s="45">
        <f>205201710+210000</f>
        <v>205411710</v>
      </c>
      <c r="E204" s="45">
        <f>E206+E212+E214+E216+E219+E224</f>
        <v>37916336</v>
      </c>
      <c r="F204" s="45">
        <f t="shared" si="47"/>
        <v>243328046</v>
      </c>
      <c r="G204" s="7"/>
      <c r="H204" s="2"/>
    </row>
    <row r="205" spans="1:8" ht="56.45" customHeight="1">
      <c r="A205" s="72" t="s">
        <v>83</v>
      </c>
      <c r="B205" s="69" t="s">
        <v>84</v>
      </c>
      <c r="C205" s="77" t="s">
        <v>82</v>
      </c>
      <c r="D205" s="44">
        <v>75146114.150000006</v>
      </c>
      <c r="E205" s="57">
        <f>E207+E209</f>
        <v>37251000</v>
      </c>
      <c r="F205" s="44">
        <f t="shared" si="47"/>
        <v>112397114.15000001</v>
      </c>
      <c r="G205" s="7"/>
      <c r="H205" s="2"/>
    </row>
    <row r="206" spans="1:8" ht="25.9" customHeight="1">
      <c r="A206" s="72"/>
      <c r="B206" s="69"/>
      <c r="C206" s="47" t="s">
        <v>6</v>
      </c>
      <c r="D206" s="67">
        <v>75096114.150000006</v>
      </c>
      <c r="E206" s="78">
        <f>E208+E210</f>
        <v>37251000</v>
      </c>
      <c r="F206" s="78">
        <f t="shared" si="47"/>
        <v>112347114.15000001</v>
      </c>
      <c r="G206" s="7"/>
      <c r="H206" s="2"/>
    </row>
    <row r="207" spans="1:8" ht="39" customHeight="1">
      <c r="A207" s="85" t="s">
        <v>204</v>
      </c>
      <c r="B207" s="86" t="s">
        <v>205</v>
      </c>
      <c r="C207" s="82" t="s">
        <v>206</v>
      </c>
      <c r="D207" s="67">
        <v>44077760</v>
      </c>
      <c r="E207" s="78">
        <f>E208</f>
        <v>23000000</v>
      </c>
      <c r="F207" s="78">
        <f t="shared" si="47"/>
        <v>67077760</v>
      </c>
      <c r="G207" s="7"/>
      <c r="H207" s="2"/>
    </row>
    <row r="208" spans="1:8" ht="24.6" customHeight="1">
      <c r="A208" s="85"/>
      <c r="B208" s="86"/>
      <c r="C208" s="47" t="s">
        <v>6</v>
      </c>
      <c r="D208" s="67">
        <v>44077760</v>
      </c>
      <c r="E208" s="78">
        <v>23000000</v>
      </c>
      <c r="F208" s="78">
        <f t="shared" ref="F208" si="48">D208+E208</f>
        <v>67077760</v>
      </c>
      <c r="G208" s="7"/>
      <c r="H208" s="2"/>
    </row>
    <row r="209" spans="1:8" ht="57" customHeight="1">
      <c r="A209" s="85" t="s">
        <v>198</v>
      </c>
      <c r="B209" s="86" t="s">
        <v>199</v>
      </c>
      <c r="C209" s="82" t="s">
        <v>200</v>
      </c>
      <c r="D209" s="67">
        <v>0</v>
      </c>
      <c r="E209" s="78">
        <f>E210</f>
        <v>14251000</v>
      </c>
      <c r="F209" s="78">
        <f t="shared" ref="F209" si="49">D209+E209</f>
        <v>14251000</v>
      </c>
      <c r="G209" s="7"/>
      <c r="H209" s="2"/>
    </row>
    <row r="210" spans="1:8" ht="24.75" customHeight="1">
      <c r="A210" s="85"/>
      <c r="B210" s="86"/>
      <c r="C210" s="47" t="s">
        <v>6</v>
      </c>
      <c r="D210" s="67">
        <v>0</v>
      </c>
      <c r="E210" s="78">
        <v>14251000</v>
      </c>
      <c r="F210" s="78">
        <f t="shared" si="47"/>
        <v>14251000</v>
      </c>
      <c r="G210" s="7"/>
      <c r="H210" s="2"/>
    </row>
    <row r="211" spans="1:8" ht="37.9" customHeight="1">
      <c r="A211" s="72" t="s">
        <v>37</v>
      </c>
      <c r="B211" s="69" t="s">
        <v>38</v>
      </c>
      <c r="C211" s="77" t="s">
        <v>39</v>
      </c>
      <c r="D211" s="46">
        <f>22576843.64+210000</f>
        <v>22786843.640000001</v>
      </c>
      <c r="E211" s="46">
        <f>E212</f>
        <v>250000</v>
      </c>
      <c r="F211" s="44">
        <f t="shared" ref="F211:F219" si="50">D211+E211</f>
        <v>23036843.640000001</v>
      </c>
      <c r="G211" s="7"/>
      <c r="H211" s="2"/>
    </row>
    <row r="212" spans="1:8" ht="24.75" customHeight="1">
      <c r="A212" s="56"/>
      <c r="B212" s="56"/>
      <c r="C212" s="47" t="s">
        <v>6</v>
      </c>
      <c r="D212" s="67">
        <f>22576843.64+210000</f>
        <v>22786843.640000001</v>
      </c>
      <c r="E212" s="55">
        <f>250000</f>
        <v>250000</v>
      </c>
      <c r="F212" s="55">
        <f t="shared" ref="F212:F213" si="51">D212+E212</f>
        <v>23036843.640000001</v>
      </c>
      <c r="G212" s="7"/>
      <c r="H212" s="2"/>
    </row>
    <row r="213" spans="1:8" ht="40.15" customHeight="1">
      <c r="A213" s="72" t="s">
        <v>195</v>
      </c>
      <c r="B213" s="69" t="s">
        <v>196</v>
      </c>
      <c r="C213" s="77" t="s">
        <v>197</v>
      </c>
      <c r="D213" s="46">
        <v>500000</v>
      </c>
      <c r="E213" s="46">
        <f>E214</f>
        <v>711000</v>
      </c>
      <c r="F213" s="44">
        <f t="shared" si="51"/>
        <v>1211000</v>
      </c>
      <c r="G213" s="7"/>
      <c r="H213" s="2"/>
    </row>
    <row r="214" spans="1:8" ht="24.75" customHeight="1">
      <c r="A214" s="56"/>
      <c r="B214" s="56"/>
      <c r="C214" s="47" t="s">
        <v>6</v>
      </c>
      <c r="D214" s="67">
        <v>0</v>
      </c>
      <c r="E214" s="55">
        <f>711000</f>
        <v>711000</v>
      </c>
      <c r="F214" s="55">
        <f t="shared" ref="F214" si="52">D214+E214</f>
        <v>711000</v>
      </c>
      <c r="G214" s="7"/>
      <c r="H214" s="2"/>
    </row>
    <row r="215" spans="1:8" ht="39" customHeight="1">
      <c r="A215" s="72" t="s">
        <v>210</v>
      </c>
      <c r="B215" s="69" t="s">
        <v>211</v>
      </c>
      <c r="C215" s="81" t="s">
        <v>212</v>
      </c>
      <c r="D215" s="46">
        <v>4713800</v>
      </c>
      <c r="E215" s="46">
        <f>E216</f>
        <v>376390</v>
      </c>
      <c r="F215" s="44">
        <f t="shared" ref="F215:F216" si="53">D215+E215</f>
        <v>5090190</v>
      </c>
      <c r="G215" s="7"/>
      <c r="H215" s="2"/>
    </row>
    <row r="216" spans="1:8" ht="32.450000000000003" customHeight="1">
      <c r="A216" s="56"/>
      <c r="B216" s="56"/>
      <c r="C216" s="47" t="s">
        <v>6</v>
      </c>
      <c r="D216" s="67">
        <v>4713800</v>
      </c>
      <c r="E216" s="55">
        <f>376390</f>
        <v>376390</v>
      </c>
      <c r="F216" s="55">
        <f t="shared" si="53"/>
        <v>5090190</v>
      </c>
      <c r="G216" s="7"/>
      <c r="H216" s="2"/>
    </row>
    <row r="217" spans="1:8" ht="26.45" customHeight="1">
      <c r="A217" s="72" t="s">
        <v>58</v>
      </c>
      <c r="B217" s="69" t="s">
        <v>59</v>
      </c>
      <c r="C217" s="77" t="s">
        <v>62</v>
      </c>
      <c r="D217" s="46">
        <v>71045454</v>
      </c>
      <c r="E217" s="46">
        <f>E218</f>
        <v>-675000</v>
      </c>
      <c r="F217" s="44">
        <f t="shared" si="50"/>
        <v>70370454</v>
      </c>
      <c r="G217" s="7"/>
      <c r="H217" s="2"/>
    </row>
    <row r="218" spans="1:8" ht="35.450000000000003" customHeight="1">
      <c r="A218" s="85" t="s">
        <v>61</v>
      </c>
      <c r="B218" s="86" t="s">
        <v>60</v>
      </c>
      <c r="C218" s="82" t="s">
        <v>63</v>
      </c>
      <c r="D218" s="67">
        <v>64920454</v>
      </c>
      <c r="E218" s="55">
        <f>E219</f>
        <v>-675000</v>
      </c>
      <c r="F218" s="55">
        <f t="shared" si="50"/>
        <v>64245454</v>
      </c>
      <c r="G218" s="7"/>
      <c r="H218" s="2"/>
    </row>
    <row r="219" spans="1:8" ht="24.6" customHeight="1">
      <c r="A219" s="56"/>
      <c r="B219" s="56"/>
      <c r="C219" s="47" t="s">
        <v>6</v>
      </c>
      <c r="D219" s="67">
        <v>64920454</v>
      </c>
      <c r="E219" s="55">
        <f>-675000</f>
        <v>-675000</v>
      </c>
      <c r="F219" s="55">
        <f t="shared" si="50"/>
        <v>64245454</v>
      </c>
      <c r="G219" s="7"/>
      <c r="H219" s="2"/>
    </row>
    <row r="220" spans="1:8" ht="37.15" customHeight="1">
      <c r="A220" s="72" t="s">
        <v>87</v>
      </c>
      <c r="B220" s="69" t="s">
        <v>86</v>
      </c>
      <c r="C220" s="81" t="s">
        <v>85</v>
      </c>
      <c r="D220" s="46">
        <v>54249300</v>
      </c>
      <c r="E220" s="44">
        <f>SUM(E221:E222)</f>
        <v>19242476</v>
      </c>
      <c r="F220" s="44">
        <f t="shared" ref="F220:F221" si="54">D220+E220</f>
        <v>73491776</v>
      </c>
      <c r="G220" s="7"/>
      <c r="H220" s="2"/>
    </row>
    <row r="221" spans="1:8" ht="24.6" customHeight="1">
      <c r="A221" s="56"/>
      <c r="B221" s="56"/>
      <c r="C221" s="47" t="s">
        <v>66</v>
      </c>
      <c r="D221" s="67">
        <v>27993000</v>
      </c>
      <c r="E221" s="55">
        <f>6020000</f>
        <v>6020000</v>
      </c>
      <c r="F221" s="55">
        <f t="shared" si="54"/>
        <v>34013000</v>
      </c>
      <c r="G221" s="7"/>
      <c r="H221" s="2"/>
    </row>
    <row r="222" spans="1:8" ht="24.6" customHeight="1">
      <c r="A222" s="56"/>
      <c r="B222" s="56"/>
      <c r="C222" s="47" t="s">
        <v>88</v>
      </c>
      <c r="D222" s="67">
        <v>26256300</v>
      </c>
      <c r="E222" s="55">
        <f>3000000+10222476</f>
        <v>13222476</v>
      </c>
      <c r="F222" s="55">
        <f t="shared" ref="F222:F259" si="55">D222+E222</f>
        <v>39478776</v>
      </c>
      <c r="G222" s="7"/>
      <c r="H222" s="2"/>
    </row>
    <row r="223" spans="1:8" ht="115.15" customHeight="1">
      <c r="A223" s="72" t="s">
        <v>201</v>
      </c>
      <c r="B223" s="69" t="s">
        <v>202</v>
      </c>
      <c r="C223" s="77" t="s">
        <v>203</v>
      </c>
      <c r="D223" s="44">
        <v>216340</v>
      </c>
      <c r="E223" s="57">
        <f>E224</f>
        <v>2946</v>
      </c>
      <c r="F223" s="44">
        <f t="shared" si="55"/>
        <v>219286</v>
      </c>
      <c r="G223" s="7"/>
      <c r="H223" s="2"/>
    </row>
    <row r="224" spans="1:8" ht="24.6" customHeight="1">
      <c r="A224" s="79"/>
      <c r="B224" s="80"/>
      <c r="C224" s="47" t="s">
        <v>6</v>
      </c>
      <c r="D224" s="67">
        <v>216340</v>
      </c>
      <c r="E224" s="55">
        <v>2946</v>
      </c>
      <c r="F224" s="55">
        <f t="shared" ref="F224" si="56">D224+E224</f>
        <v>219286</v>
      </c>
      <c r="G224" s="7"/>
      <c r="H224" s="2"/>
    </row>
    <row r="225" spans="1:8" ht="42.6" customHeight="1">
      <c r="A225" s="71" t="s">
        <v>140</v>
      </c>
      <c r="B225" s="48"/>
      <c r="C225" s="48" t="s">
        <v>144</v>
      </c>
      <c r="D225" s="29">
        <f>D226</f>
        <v>0</v>
      </c>
      <c r="E225" s="29">
        <f>E226</f>
        <v>1477800</v>
      </c>
      <c r="F225" s="29">
        <f t="shared" si="55"/>
        <v>1477800</v>
      </c>
      <c r="G225" s="7"/>
      <c r="H225" s="2"/>
    </row>
    <row r="226" spans="1:8" ht="46.9" customHeight="1">
      <c r="A226" s="71" t="s">
        <v>141</v>
      </c>
      <c r="B226" s="48"/>
      <c r="C226" s="48" t="s">
        <v>144</v>
      </c>
      <c r="D226" s="29">
        <v>0</v>
      </c>
      <c r="E226" s="29">
        <f>E227</f>
        <v>1477800</v>
      </c>
      <c r="F226" s="29">
        <f t="shared" si="55"/>
        <v>1477800</v>
      </c>
      <c r="G226" s="7"/>
      <c r="H226" s="2"/>
    </row>
    <row r="227" spans="1:8" ht="24.6" customHeight="1">
      <c r="A227" s="72" t="s">
        <v>142</v>
      </c>
      <c r="B227" s="69" t="s">
        <v>59</v>
      </c>
      <c r="C227" s="77" t="s">
        <v>62</v>
      </c>
      <c r="D227" s="57">
        <v>0</v>
      </c>
      <c r="E227" s="57">
        <f>E228</f>
        <v>1477800</v>
      </c>
      <c r="F227" s="57">
        <f t="shared" si="55"/>
        <v>1477800</v>
      </c>
      <c r="G227" s="7"/>
      <c r="H227" s="2"/>
    </row>
    <row r="228" spans="1:8" ht="158.44999999999999" customHeight="1">
      <c r="A228" s="68" t="s">
        <v>143</v>
      </c>
      <c r="B228" s="90">
        <v>7691</v>
      </c>
      <c r="C228" s="89" t="s">
        <v>65</v>
      </c>
      <c r="D228" s="78">
        <v>0</v>
      </c>
      <c r="E228" s="78">
        <f>SUM(E229:E230)</f>
        <v>1477800</v>
      </c>
      <c r="F228" s="78">
        <f t="shared" si="55"/>
        <v>1477800</v>
      </c>
      <c r="G228" s="7"/>
      <c r="H228" s="2"/>
    </row>
    <row r="229" spans="1:8" ht="24.6" customHeight="1">
      <c r="A229" s="56"/>
      <c r="B229" s="56"/>
      <c r="C229" s="47" t="s">
        <v>66</v>
      </c>
      <c r="D229" s="67">
        <v>0</v>
      </c>
      <c r="E229" s="55">
        <v>401800</v>
      </c>
      <c r="F229" s="55">
        <f t="shared" si="55"/>
        <v>401800</v>
      </c>
      <c r="G229" s="7"/>
      <c r="H229" s="2"/>
    </row>
    <row r="230" spans="1:8" ht="24.6" customHeight="1">
      <c r="A230" s="56"/>
      <c r="B230" s="56"/>
      <c r="C230" s="47" t="s">
        <v>88</v>
      </c>
      <c r="D230" s="67">
        <v>0</v>
      </c>
      <c r="E230" s="55">
        <v>1076000</v>
      </c>
      <c r="F230" s="55">
        <f t="shared" si="55"/>
        <v>1076000</v>
      </c>
      <c r="G230" s="7"/>
      <c r="H230" s="2"/>
    </row>
    <row r="231" spans="1:8" ht="50.45" customHeight="1">
      <c r="A231" s="71" t="s">
        <v>130</v>
      </c>
      <c r="B231" s="48"/>
      <c r="C231" s="48" t="s">
        <v>132</v>
      </c>
      <c r="D231" s="29">
        <f>D232</f>
        <v>105227385.27</v>
      </c>
      <c r="E231" s="29">
        <f>E232</f>
        <v>-10891618</v>
      </c>
      <c r="F231" s="29">
        <f t="shared" ref="F231:F236" si="57">D231+E231</f>
        <v>94335767.269999996</v>
      </c>
      <c r="G231" s="7"/>
      <c r="H231" s="2"/>
    </row>
    <row r="232" spans="1:8" ht="61.15" customHeight="1">
      <c r="A232" s="71" t="s">
        <v>131</v>
      </c>
      <c r="B232" s="48"/>
      <c r="C232" s="48" t="s">
        <v>132</v>
      </c>
      <c r="D232" s="29">
        <v>105227385.27</v>
      </c>
      <c r="E232" s="29">
        <f>E233+E236</f>
        <v>-10891618</v>
      </c>
      <c r="F232" s="29">
        <f t="shared" si="57"/>
        <v>94335767.269999996</v>
      </c>
      <c r="G232" s="7"/>
      <c r="H232" s="2"/>
    </row>
    <row r="233" spans="1:8" ht="24.6" customHeight="1">
      <c r="A233" s="72" t="s">
        <v>133</v>
      </c>
      <c r="B233" s="69" t="s">
        <v>59</v>
      </c>
      <c r="C233" s="77" t="s">
        <v>62</v>
      </c>
      <c r="D233" s="57">
        <v>411200</v>
      </c>
      <c r="E233" s="57">
        <f>E234</f>
        <v>-86518</v>
      </c>
      <c r="F233" s="57">
        <f t="shared" si="57"/>
        <v>324682</v>
      </c>
      <c r="G233" s="7"/>
      <c r="H233" s="2"/>
    </row>
    <row r="234" spans="1:8" ht="162" customHeight="1">
      <c r="A234" s="68" t="s">
        <v>134</v>
      </c>
      <c r="B234" s="90">
        <v>7691</v>
      </c>
      <c r="C234" s="89" t="s">
        <v>65</v>
      </c>
      <c r="D234" s="78">
        <v>411200</v>
      </c>
      <c r="E234" s="78">
        <f>SUM(E235:E235)</f>
        <v>-86518</v>
      </c>
      <c r="F234" s="78">
        <f t="shared" si="57"/>
        <v>324682</v>
      </c>
      <c r="G234" s="7"/>
      <c r="H234" s="2"/>
    </row>
    <row r="235" spans="1:8" ht="24.6" customHeight="1">
      <c r="A235" s="56"/>
      <c r="B235" s="56"/>
      <c r="C235" s="47" t="s">
        <v>66</v>
      </c>
      <c r="D235" s="67">
        <v>140000</v>
      </c>
      <c r="E235" s="55">
        <v>-86518</v>
      </c>
      <c r="F235" s="55">
        <f t="shared" si="57"/>
        <v>53482</v>
      </c>
      <c r="G235" s="7"/>
      <c r="H235" s="2"/>
    </row>
    <row r="236" spans="1:8" ht="37.9" customHeight="1">
      <c r="A236" s="91">
        <v>1518340</v>
      </c>
      <c r="B236" s="92">
        <v>8340</v>
      </c>
      <c r="C236" s="77" t="s">
        <v>85</v>
      </c>
      <c r="D236" s="57">
        <v>24434800</v>
      </c>
      <c r="E236" s="57">
        <f>E237</f>
        <v>-10805100</v>
      </c>
      <c r="F236" s="44">
        <f t="shared" si="57"/>
        <v>13629700</v>
      </c>
      <c r="G236" s="7"/>
      <c r="H236" s="2"/>
    </row>
    <row r="237" spans="1:8" ht="24.6" customHeight="1">
      <c r="A237" s="56"/>
      <c r="B237" s="56"/>
      <c r="C237" s="47" t="s">
        <v>135</v>
      </c>
      <c r="D237" s="67">
        <v>24434800</v>
      </c>
      <c r="E237" s="55">
        <v>-10805100</v>
      </c>
      <c r="F237" s="55">
        <f t="shared" ref="F237:F243" si="58">D237+E237</f>
        <v>13629700</v>
      </c>
      <c r="G237" s="7"/>
      <c r="H237" s="2"/>
    </row>
    <row r="238" spans="1:8" ht="55.15" customHeight="1">
      <c r="A238" s="71" t="s">
        <v>125</v>
      </c>
      <c r="B238" s="48"/>
      <c r="C238" s="48" t="s">
        <v>127</v>
      </c>
      <c r="D238" s="29">
        <f>D239</f>
        <v>18044644.140000001</v>
      </c>
      <c r="E238" s="29">
        <f>E239</f>
        <v>-1534004</v>
      </c>
      <c r="F238" s="29">
        <f t="shared" si="58"/>
        <v>16510640.140000001</v>
      </c>
      <c r="G238" s="7"/>
      <c r="H238" s="2"/>
    </row>
    <row r="239" spans="1:8" ht="63.6" customHeight="1">
      <c r="A239" s="71" t="s">
        <v>126</v>
      </c>
      <c r="B239" s="48"/>
      <c r="C239" s="48" t="s">
        <v>127</v>
      </c>
      <c r="D239" s="29">
        <v>18044644.140000001</v>
      </c>
      <c r="E239" s="29">
        <f>E240</f>
        <v>-1534004</v>
      </c>
      <c r="F239" s="29">
        <f t="shared" si="58"/>
        <v>16510640.140000001</v>
      </c>
      <c r="G239" s="7"/>
      <c r="H239" s="2"/>
    </row>
    <row r="240" spans="1:8" ht="24.6" customHeight="1">
      <c r="A240" s="72" t="s">
        <v>128</v>
      </c>
      <c r="B240" s="69" t="s">
        <v>59</v>
      </c>
      <c r="C240" s="77" t="s">
        <v>62</v>
      </c>
      <c r="D240" s="57">
        <v>4031234.14</v>
      </c>
      <c r="E240" s="57">
        <f>E241</f>
        <v>-1534004</v>
      </c>
      <c r="F240" s="57">
        <f t="shared" si="58"/>
        <v>2497230.14</v>
      </c>
      <c r="G240" s="7"/>
      <c r="H240" s="2"/>
    </row>
    <row r="241" spans="1:8" ht="159" customHeight="1">
      <c r="A241" s="68" t="s">
        <v>129</v>
      </c>
      <c r="B241" s="90">
        <v>7691</v>
      </c>
      <c r="C241" s="89" t="s">
        <v>65</v>
      </c>
      <c r="D241" s="78">
        <v>4031234.14</v>
      </c>
      <c r="E241" s="78">
        <f>SUM(E242:E243)</f>
        <v>-1534004</v>
      </c>
      <c r="F241" s="78">
        <f t="shared" si="58"/>
        <v>2497230.14</v>
      </c>
      <c r="G241" s="7"/>
      <c r="H241" s="2"/>
    </row>
    <row r="242" spans="1:8" ht="24.6" customHeight="1">
      <c r="A242" s="56"/>
      <c r="B242" s="56"/>
      <c r="C242" s="47" t="s">
        <v>66</v>
      </c>
      <c r="D242" s="67">
        <v>1655234.14</v>
      </c>
      <c r="E242" s="55">
        <v>-401800</v>
      </c>
      <c r="F242" s="55">
        <f t="shared" si="58"/>
        <v>1253434.1399999999</v>
      </c>
      <c r="G242" s="7"/>
      <c r="H242" s="2"/>
    </row>
    <row r="243" spans="1:8" ht="24.6" customHeight="1">
      <c r="A243" s="56"/>
      <c r="B243" s="56"/>
      <c r="C243" s="47" t="s">
        <v>88</v>
      </c>
      <c r="D243" s="67">
        <v>2376000</v>
      </c>
      <c r="E243" s="55">
        <v>-1132204</v>
      </c>
      <c r="F243" s="55">
        <f t="shared" si="58"/>
        <v>1243796</v>
      </c>
      <c r="G243" s="7"/>
      <c r="H243" s="2"/>
    </row>
    <row r="244" spans="1:8" ht="76.900000000000006" customHeight="1">
      <c r="A244" s="71" t="s">
        <v>136</v>
      </c>
      <c r="B244" s="48"/>
      <c r="C244" s="48" t="s">
        <v>314</v>
      </c>
      <c r="D244" s="29">
        <f>D245</f>
        <v>0</v>
      </c>
      <c r="E244" s="29">
        <f>E245</f>
        <v>142722</v>
      </c>
      <c r="F244" s="29">
        <f t="shared" si="55"/>
        <v>142722</v>
      </c>
      <c r="G244" s="7"/>
      <c r="H244" s="2"/>
    </row>
    <row r="245" spans="1:8" ht="77.45" customHeight="1">
      <c r="A245" s="71" t="s">
        <v>137</v>
      </c>
      <c r="B245" s="48"/>
      <c r="C245" s="48" t="s">
        <v>314</v>
      </c>
      <c r="D245" s="29">
        <v>0</v>
      </c>
      <c r="E245" s="29">
        <f>E246</f>
        <v>142722</v>
      </c>
      <c r="F245" s="29">
        <f t="shared" si="55"/>
        <v>142722</v>
      </c>
      <c r="G245" s="7"/>
      <c r="H245" s="2"/>
    </row>
    <row r="246" spans="1:8" ht="24.6" customHeight="1">
      <c r="A246" s="72" t="s">
        <v>138</v>
      </c>
      <c r="B246" s="69" t="s">
        <v>59</v>
      </c>
      <c r="C246" s="77" t="s">
        <v>62</v>
      </c>
      <c r="D246" s="57">
        <v>0</v>
      </c>
      <c r="E246" s="57">
        <f>E247</f>
        <v>142722</v>
      </c>
      <c r="F246" s="57">
        <f t="shared" si="55"/>
        <v>142722</v>
      </c>
      <c r="G246" s="7"/>
      <c r="H246" s="2"/>
    </row>
    <row r="247" spans="1:8" ht="154.9" customHeight="1">
      <c r="A247" s="68" t="s">
        <v>139</v>
      </c>
      <c r="B247" s="90">
        <v>7691</v>
      </c>
      <c r="C247" s="89" t="s">
        <v>65</v>
      </c>
      <c r="D247" s="78">
        <v>0</v>
      </c>
      <c r="E247" s="78">
        <f>SUM(E248:E248)</f>
        <v>142722</v>
      </c>
      <c r="F247" s="78">
        <f t="shared" si="55"/>
        <v>142722</v>
      </c>
      <c r="G247" s="7"/>
      <c r="H247" s="2"/>
    </row>
    <row r="248" spans="1:8" ht="24.6" customHeight="1">
      <c r="A248" s="56"/>
      <c r="B248" s="56"/>
      <c r="C248" s="47" t="s">
        <v>135</v>
      </c>
      <c r="D248" s="67">
        <v>0</v>
      </c>
      <c r="E248" s="55">
        <v>142722</v>
      </c>
      <c r="F248" s="55">
        <f t="shared" si="55"/>
        <v>142722</v>
      </c>
      <c r="G248" s="7"/>
      <c r="H248" s="2"/>
    </row>
    <row r="249" spans="1:8" ht="49.15" customHeight="1">
      <c r="A249" s="71" t="s">
        <v>171</v>
      </c>
      <c r="B249" s="48"/>
      <c r="C249" s="48" t="s">
        <v>170</v>
      </c>
      <c r="D249" s="29">
        <f>D250</f>
        <v>54839000</v>
      </c>
      <c r="E249" s="130">
        <f>E250</f>
        <v>3240000</v>
      </c>
      <c r="F249" s="29">
        <f t="shared" si="55"/>
        <v>58079000</v>
      </c>
      <c r="G249" s="7"/>
      <c r="H249" s="2"/>
    </row>
    <row r="250" spans="1:8" ht="45" customHeight="1">
      <c r="A250" s="71" t="s">
        <v>172</v>
      </c>
      <c r="B250" s="48"/>
      <c r="C250" s="48" t="s">
        <v>170</v>
      </c>
      <c r="D250" s="29">
        <v>54839000</v>
      </c>
      <c r="E250" s="130">
        <f>E252+E255</f>
        <v>3240000</v>
      </c>
      <c r="F250" s="29">
        <f t="shared" si="55"/>
        <v>58079000</v>
      </c>
      <c r="G250" s="7"/>
      <c r="H250" s="2"/>
    </row>
    <row r="251" spans="1:8" ht="24.6" customHeight="1">
      <c r="A251" s="73"/>
      <c r="B251" s="66"/>
      <c r="C251" s="66" t="s">
        <v>6</v>
      </c>
      <c r="D251" s="45">
        <v>54839000</v>
      </c>
      <c r="E251" s="45">
        <f>E253+E256</f>
        <v>3240000</v>
      </c>
      <c r="F251" s="45">
        <f t="shared" ref="F251:F254" si="59">D251+E251</f>
        <v>58079000</v>
      </c>
      <c r="G251" s="7"/>
      <c r="H251" s="2"/>
    </row>
    <row r="252" spans="1:8" ht="57" customHeight="1">
      <c r="A252" s="72" t="s">
        <v>182</v>
      </c>
      <c r="B252" s="69" t="s">
        <v>183</v>
      </c>
      <c r="C252" s="77" t="s">
        <v>173</v>
      </c>
      <c r="D252" s="44">
        <f>D253</f>
        <v>11536000</v>
      </c>
      <c r="E252" s="131">
        <f>E253</f>
        <v>240000</v>
      </c>
      <c r="F252" s="44">
        <f t="shared" si="59"/>
        <v>11776000</v>
      </c>
      <c r="G252" s="7"/>
      <c r="H252" s="2"/>
    </row>
    <row r="253" spans="1:8" ht="39.6" customHeight="1">
      <c r="A253" s="85" t="s">
        <v>181</v>
      </c>
      <c r="B253" s="86" t="s">
        <v>180</v>
      </c>
      <c r="C253" s="82" t="s">
        <v>184</v>
      </c>
      <c r="D253" s="67">
        <f>D254</f>
        <v>11536000</v>
      </c>
      <c r="E253" s="132">
        <f>E254</f>
        <v>240000</v>
      </c>
      <c r="F253" s="55">
        <f t="shared" si="59"/>
        <v>11776000</v>
      </c>
      <c r="G253" s="7"/>
      <c r="H253" s="2"/>
    </row>
    <row r="254" spans="1:8" ht="24.6" customHeight="1">
      <c r="A254" s="56"/>
      <c r="B254" s="56"/>
      <c r="C254" s="47" t="s">
        <v>6</v>
      </c>
      <c r="D254" s="67">
        <v>11536000</v>
      </c>
      <c r="E254" s="55">
        <v>240000</v>
      </c>
      <c r="F254" s="55">
        <f t="shared" si="59"/>
        <v>11776000</v>
      </c>
      <c r="G254" s="7"/>
      <c r="H254" s="2"/>
    </row>
    <row r="255" spans="1:8" ht="39" customHeight="1">
      <c r="A255" s="72" t="s">
        <v>313</v>
      </c>
      <c r="B255" s="69" t="s">
        <v>211</v>
      </c>
      <c r="C255" s="77" t="s">
        <v>212</v>
      </c>
      <c r="D255" s="44">
        <v>9520000</v>
      </c>
      <c r="E255" s="131">
        <f>E256</f>
        <v>3000000</v>
      </c>
      <c r="F255" s="44">
        <f t="shared" ref="F255:F256" si="60">D255+E255</f>
        <v>12520000</v>
      </c>
      <c r="G255" s="7"/>
      <c r="H255" s="2"/>
    </row>
    <row r="256" spans="1:8" ht="24.6" customHeight="1">
      <c r="A256" s="79"/>
      <c r="B256" s="80"/>
      <c r="C256" s="47" t="s">
        <v>6</v>
      </c>
      <c r="D256" s="67">
        <v>9520000</v>
      </c>
      <c r="E256" s="55">
        <f>3000000</f>
        <v>3000000</v>
      </c>
      <c r="F256" s="55">
        <f t="shared" si="60"/>
        <v>12520000</v>
      </c>
      <c r="G256" s="7"/>
      <c r="H256" s="2"/>
    </row>
    <row r="257" spans="1:12" ht="39.6" customHeight="1">
      <c r="A257" s="93">
        <v>2800000</v>
      </c>
      <c r="B257" s="94"/>
      <c r="C257" s="48" t="s">
        <v>185</v>
      </c>
      <c r="D257" s="29">
        <f>D258</f>
        <v>7855900</v>
      </c>
      <c r="E257" s="29">
        <f>E258</f>
        <v>50000</v>
      </c>
      <c r="F257" s="29">
        <f t="shared" si="55"/>
        <v>7905900</v>
      </c>
      <c r="G257" s="7"/>
      <c r="H257" s="2"/>
    </row>
    <row r="258" spans="1:12" ht="42" customHeight="1">
      <c r="A258" s="93">
        <v>2810000</v>
      </c>
      <c r="B258" s="48"/>
      <c r="C258" s="48" t="s">
        <v>185</v>
      </c>
      <c r="D258" s="29">
        <v>7855900</v>
      </c>
      <c r="E258" s="29">
        <f>E260</f>
        <v>50000</v>
      </c>
      <c r="F258" s="29">
        <f t="shared" si="55"/>
        <v>7905900</v>
      </c>
      <c r="G258" s="7"/>
      <c r="H258" s="2"/>
    </row>
    <row r="259" spans="1:12" ht="24.6" customHeight="1">
      <c r="A259" s="73"/>
      <c r="B259" s="66"/>
      <c r="C259" s="66" t="s">
        <v>6</v>
      </c>
      <c r="D259" s="45">
        <v>332000</v>
      </c>
      <c r="E259" s="45">
        <f>E261</f>
        <v>50000</v>
      </c>
      <c r="F259" s="45">
        <f t="shared" si="55"/>
        <v>382000</v>
      </c>
      <c r="G259" s="7"/>
      <c r="H259" s="2"/>
    </row>
    <row r="260" spans="1:12" ht="72" customHeight="1">
      <c r="A260" s="72" t="s">
        <v>186</v>
      </c>
      <c r="B260" s="69" t="s">
        <v>187</v>
      </c>
      <c r="C260" s="77" t="s">
        <v>188</v>
      </c>
      <c r="D260" s="57">
        <v>332000</v>
      </c>
      <c r="E260" s="57">
        <f>E261</f>
        <v>50000</v>
      </c>
      <c r="F260" s="44">
        <f>D260+E260</f>
        <v>382000</v>
      </c>
      <c r="G260" s="7"/>
      <c r="H260" s="2"/>
    </row>
    <row r="261" spans="1:12" ht="24.6" customHeight="1" thickBot="1">
      <c r="A261" s="56"/>
      <c r="B261" s="56"/>
      <c r="C261" s="47" t="s">
        <v>6</v>
      </c>
      <c r="D261" s="67">
        <v>332000</v>
      </c>
      <c r="E261" s="55">
        <f>50000</f>
        <v>50000</v>
      </c>
      <c r="F261" s="55">
        <f t="shared" ref="F261" si="61">D261+E261</f>
        <v>382000</v>
      </c>
      <c r="G261" s="7"/>
      <c r="H261" s="2"/>
    </row>
    <row r="262" spans="1:12" ht="36.6" customHeight="1" thickBot="1">
      <c r="A262" s="11"/>
      <c r="B262" s="11"/>
      <c r="C262" s="36" t="s">
        <v>13</v>
      </c>
      <c r="D262" s="42">
        <f>D59+D149</f>
        <v>7419465890.04</v>
      </c>
      <c r="E262" s="42">
        <f>E59+E149</f>
        <v>156328774</v>
      </c>
      <c r="F262" s="154">
        <f t="shared" ref="F262" si="62">D262+E262</f>
        <v>7575794664.04</v>
      </c>
      <c r="G262" s="134"/>
      <c r="H262" s="2"/>
      <c r="I262" s="70"/>
    </row>
    <row r="263" spans="1:12" ht="39.75" customHeight="1" thickBot="1">
      <c r="A263" s="11"/>
      <c r="B263" s="61"/>
      <c r="C263" s="36" t="s">
        <v>9</v>
      </c>
      <c r="D263" s="26">
        <f>D264+D265</f>
        <v>-231299599.52000001</v>
      </c>
      <c r="E263" s="26">
        <f>E264+E265</f>
        <v>-46856498</v>
      </c>
      <c r="F263" s="26">
        <f t="shared" si="47"/>
        <v>-278156097.51999998</v>
      </c>
      <c r="G263" s="134"/>
      <c r="H263" s="76"/>
      <c r="I263" s="74"/>
    </row>
    <row r="264" spans="1:12" ht="69.75" customHeight="1" thickBot="1">
      <c r="A264" s="58"/>
      <c r="B264" s="58"/>
      <c r="C264" s="59" t="s">
        <v>19</v>
      </c>
      <c r="D264" s="60">
        <v>233416447.90000001</v>
      </c>
      <c r="E264" s="60">
        <f>E173</f>
        <v>513200</v>
      </c>
      <c r="F264" s="60">
        <f t="shared" si="47"/>
        <v>233929647.90000001</v>
      </c>
      <c r="G264" s="7"/>
      <c r="H264" s="76"/>
      <c r="I264" s="74"/>
      <c r="J264" s="75"/>
    </row>
    <row r="265" spans="1:12" ht="67.5" customHeight="1" thickBot="1">
      <c r="A265" s="22"/>
      <c r="B265" s="64"/>
      <c r="C265" s="39" t="s">
        <v>4</v>
      </c>
      <c r="D265" s="43">
        <f>-464231047.42-485000</f>
        <v>-464716047.42000002</v>
      </c>
      <c r="E265" s="43">
        <f>-E268</f>
        <v>-47369698</v>
      </c>
      <c r="F265" s="43">
        <f t="shared" si="47"/>
        <v>-512085745.42000002</v>
      </c>
      <c r="G265" s="7"/>
      <c r="H265" s="76"/>
      <c r="I265" s="74"/>
      <c r="J265" s="7"/>
      <c r="K265" s="75"/>
    </row>
    <row r="266" spans="1:12" ht="42" customHeight="1" thickBot="1">
      <c r="A266" s="11"/>
      <c r="B266" s="61"/>
      <c r="C266" s="36" t="s">
        <v>10</v>
      </c>
      <c r="D266" s="26">
        <f>SUM(D267:D268)</f>
        <v>529218312.13</v>
      </c>
      <c r="E266" s="26">
        <f>SUM(E267:E268)</f>
        <v>49787074</v>
      </c>
      <c r="F266" s="26">
        <f t="shared" si="47"/>
        <v>579005386.13</v>
      </c>
      <c r="G266" s="7"/>
      <c r="H266" s="2"/>
      <c r="I266" s="74"/>
      <c r="J266" s="7"/>
      <c r="K266" s="75"/>
    </row>
    <row r="267" spans="1:12" ht="72.75" customHeight="1" thickBot="1">
      <c r="A267" s="22"/>
      <c r="B267" s="22"/>
      <c r="C267" s="59" t="s">
        <v>20</v>
      </c>
      <c r="D267" s="60">
        <v>64502264.710000001</v>
      </c>
      <c r="E267" s="60">
        <f>2417376</f>
        <v>2417376</v>
      </c>
      <c r="F267" s="60">
        <f t="shared" si="47"/>
        <v>66919640.710000001</v>
      </c>
      <c r="G267" s="7"/>
      <c r="H267" s="2"/>
      <c r="I267" s="74"/>
      <c r="J267" s="7"/>
      <c r="K267" s="74"/>
    </row>
    <row r="268" spans="1:12" ht="66.75" thickBot="1">
      <c r="A268" s="22"/>
      <c r="B268" s="64"/>
      <c r="C268" s="39" t="s">
        <v>5</v>
      </c>
      <c r="D268" s="43">
        <f>464231047.42+485000</f>
        <v>464716047.42000002</v>
      </c>
      <c r="E268" s="43">
        <f>E150-5200000</f>
        <v>47369698</v>
      </c>
      <c r="F268" s="43">
        <f t="shared" si="47"/>
        <v>512085745.42000002</v>
      </c>
      <c r="G268" s="7"/>
      <c r="H268" s="2"/>
      <c r="I268" s="75"/>
      <c r="J268" s="12"/>
      <c r="K268" s="75"/>
    </row>
    <row r="269" spans="1:12" ht="43.15" customHeight="1">
      <c r="A269" s="23"/>
      <c r="B269" s="23"/>
      <c r="C269" s="24"/>
      <c r="D269" s="7"/>
      <c r="E269" s="7"/>
      <c r="F269" s="7"/>
      <c r="G269" s="7"/>
      <c r="H269" s="2"/>
      <c r="J269" s="7"/>
      <c r="K269" s="75"/>
    </row>
    <row r="270" spans="1:12" ht="86.45" customHeight="1">
      <c r="A270" s="137" t="s">
        <v>15</v>
      </c>
      <c r="B270" s="137"/>
      <c r="C270" s="137"/>
      <c r="D270" s="10"/>
      <c r="E270" s="53" t="s">
        <v>21</v>
      </c>
      <c r="F270" s="12"/>
      <c r="G270" s="12"/>
      <c r="H270" s="76"/>
      <c r="J270" s="30"/>
      <c r="K270" s="30"/>
      <c r="L270" s="30"/>
    </row>
    <row r="271" spans="1:12" ht="23.25" customHeight="1">
      <c r="A271" s="15"/>
      <c r="B271" s="15"/>
      <c r="C271" s="13"/>
      <c r="D271" s="10"/>
      <c r="E271" s="14"/>
      <c r="F271" s="12"/>
      <c r="G271" s="12"/>
      <c r="H271" s="76"/>
      <c r="J271" s="30"/>
      <c r="K271" s="30"/>
      <c r="L271" s="30"/>
    </row>
    <row r="272" spans="1:12" ht="20.25">
      <c r="A272" s="10"/>
      <c r="B272" s="10"/>
      <c r="E272" s="10"/>
      <c r="F272" s="5"/>
      <c r="G272" s="5"/>
      <c r="H272" s="2"/>
      <c r="J272" s="30"/>
      <c r="K272" s="30"/>
      <c r="L272" s="30"/>
    </row>
    <row r="273" spans="1:11" ht="18.75">
      <c r="A273" s="8"/>
      <c r="B273" s="8"/>
      <c r="C273" s="9"/>
      <c r="D273" s="5"/>
      <c r="E273" s="5"/>
      <c r="F273" s="5"/>
      <c r="G273" s="5"/>
      <c r="H273" s="2"/>
    </row>
    <row r="274" spans="1:11" ht="18.75">
      <c r="A274" s="8"/>
      <c r="B274" s="8"/>
      <c r="C274" s="9"/>
      <c r="D274" s="5"/>
      <c r="E274" s="25"/>
      <c r="F274" s="5"/>
      <c r="G274" s="5"/>
      <c r="H274" s="2"/>
    </row>
    <row r="275" spans="1:11" ht="18.75">
      <c r="A275" s="8"/>
      <c r="B275" s="8"/>
      <c r="C275" s="9"/>
      <c r="D275" s="5"/>
      <c r="E275" s="5"/>
      <c r="F275" s="5"/>
      <c r="G275" s="5"/>
      <c r="H275" s="2"/>
      <c r="I275" s="32"/>
      <c r="J275" s="32"/>
      <c r="K275" s="32"/>
    </row>
    <row r="276" spans="1:11" ht="18.75">
      <c r="A276" s="8"/>
      <c r="B276" s="8"/>
      <c r="C276" s="9"/>
      <c r="D276" s="5"/>
      <c r="E276" s="5"/>
      <c r="F276" s="5"/>
      <c r="G276" s="5"/>
      <c r="H276" s="2"/>
    </row>
    <row r="277" spans="1:11" ht="18.75">
      <c r="A277" s="8"/>
      <c r="B277" s="8"/>
      <c r="C277" s="9"/>
      <c r="D277" s="5"/>
      <c r="E277" s="5"/>
      <c r="F277" s="5"/>
      <c r="G277" s="5"/>
      <c r="H277" s="2"/>
    </row>
    <row r="278" spans="1:11" ht="18.75">
      <c r="A278" s="8"/>
      <c r="B278" s="8"/>
      <c r="C278" s="9"/>
      <c r="D278" s="5"/>
      <c r="E278" s="5"/>
      <c r="F278" s="5"/>
      <c r="G278" s="5"/>
      <c r="H278" s="2"/>
    </row>
    <row r="279" spans="1:11" ht="18.75">
      <c r="A279" s="8"/>
      <c r="B279" s="8"/>
      <c r="C279" s="9"/>
      <c r="D279" s="5"/>
      <c r="E279" s="5"/>
      <c r="F279" s="5"/>
      <c r="G279" s="5"/>
      <c r="H279" s="2"/>
    </row>
    <row r="280" spans="1:11" ht="18.75">
      <c r="A280" s="8"/>
      <c r="B280" s="8"/>
      <c r="C280" s="9"/>
      <c r="D280" s="5"/>
      <c r="E280" s="5"/>
      <c r="F280" s="5"/>
      <c r="G280" s="5"/>
      <c r="H280" s="2"/>
    </row>
    <row r="281" spans="1:11" ht="18.75">
      <c r="A281" s="8"/>
      <c r="B281" s="8"/>
      <c r="C281" s="9"/>
      <c r="D281" s="5"/>
      <c r="E281" s="5"/>
      <c r="F281" s="5"/>
      <c r="G281" s="5"/>
      <c r="H281" s="2"/>
    </row>
    <row r="282" spans="1:11" ht="18.75">
      <c r="A282" s="8"/>
      <c r="B282" s="8"/>
      <c r="C282" s="9"/>
      <c r="D282" s="5"/>
      <c r="E282" s="5"/>
      <c r="F282" s="5"/>
      <c r="G282" s="5"/>
      <c r="H282" s="2"/>
    </row>
    <row r="283" spans="1:11" ht="18.75">
      <c r="A283" s="8"/>
      <c r="B283" s="8"/>
      <c r="C283" s="9"/>
      <c r="D283" s="5"/>
      <c r="E283" s="5"/>
      <c r="F283" s="5"/>
      <c r="G283" s="5"/>
      <c r="H283" s="2"/>
    </row>
    <row r="284" spans="1:11">
      <c r="A284" s="3"/>
      <c r="B284" s="3"/>
      <c r="C284" s="2"/>
      <c r="H284" s="2"/>
    </row>
    <row r="285" spans="1:11">
      <c r="A285" s="3"/>
      <c r="B285" s="3"/>
      <c r="C285" s="2"/>
      <c r="H285" s="2"/>
    </row>
    <row r="286" spans="1:11">
      <c r="A286" s="3"/>
      <c r="B286" s="3"/>
      <c r="C286" s="2"/>
      <c r="H286" s="2"/>
    </row>
    <row r="287" spans="1:11">
      <c r="A287" s="3"/>
      <c r="B287" s="3"/>
      <c r="C287" s="2"/>
      <c r="H287" s="2"/>
    </row>
    <row r="288" spans="1:11">
      <c r="A288" s="3"/>
      <c r="B288" s="3"/>
      <c r="C288" s="2"/>
      <c r="H288" s="2"/>
    </row>
    <row r="289" spans="1:8">
      <c r="A289" s="3"/>
      <c r="B289" s="3"/>
      <c r="C289" s="2"/>
      <c r="H289" s="2"/>
    </row>
    <row r="290" spans="1:8">
      <c r="A290" s="3"/>
      <c r="B290" s="3"/>
      <c r="C290" s="2"/>
      <c r="H290" s="2"/>
    </row>
    <row r="291" spans="1:8">
      <c r="A291" s="3"/>
      <c r="B291" s="3"/>
      <c r="C291" s="2"/>
      <c r="H291" s="2"/>
    </row>
    <row r="292" spans="1:8">
      <c r="A292" s="3"/>
      <c r="B292" s="3"/>
      <c r="C292" s="2"/>
      <c r="H292" s="2"/>
    </row>
    <row r="293" spans="1:8">
      <c r="A293" s="3"/>
      <c r="B293" s="3"/>
      <c r="C293" s="2"/>
      <c r="H293" s="2"/>
    </row>
    <row r="294" spans="1:8">
      <c r="A294" s="3"/>
      <c r="B294" s="3"/>
      <c r="C294" s="2"/>
      <c r="H294" s="2"/>
    </row>
    <row r="295" spans="1:8">
      <c r="A295" s="3"/>
      <c r="B295" s="3"/>
      <c r="C295" s="2"/>
      <c r="H295" s="2"/>
    </row>
    <row r="296" spans="1:8">
      <c r="A296" s="3"/>
      <c r="B296" s="3"/>
      <c r="C296" s="2"/>
      <c r="H296" s="2"/>
    </row>
    <row r="297" spans="1:8">
      <c r="A297" s="3"/>
      <c r="B297" s="3"/>
      <c r="C297" s="2"/>
      <c r="H297" s="2"/>
    </row>
    <row r="298" spans="1:8">
      <c r="A298" s="3"/>
      <c r="B298" s="3"/>
      <c r="C298" s="2"/>
      <c r="H298" s="2"/>
    </row>
    <row r="299" spans="1:8">
      <c r="A299" s="3"/>
      <c r="B299" s="3"/>
      <c r="C299" s="2"/>
      <c r="H299" s="2"/>
    </row>
    <row r="300" spans="1:8">
      <c r="A300" s="3"/>
      <c r="B300" s="3"/>
      <c r="C300" s="2"/>
      <c r="H300" s="2"/>
    </row>
    <row r="301" spans="1:8">
      <c r="A301" s="3"/>
      <c r="B301" s="3"/>
      <c r="C301" s="2"/>
      <c r="H301" s="2"/>
    </row>
    <row r="302" spans="1:8">
      <c r="A302" s="3"/>
      <c r="B302" s="3"/>
      <c r="C302" s="2"/>
      <c r="H302" s="2"/>
    </row>
    <row r="303" spans="1:8">
      <c r="A303" s="3"/>
      <c r="B303" s="3"/>
      <c r="C303" s="2"/>
      <c r="H303" s="2"/>
    </row>
    <row r="304" spans="1:8">
      <c r="A304" s="3"/>
      <c r="B304" s="3"/>
      <c r="C304" s="2"/>
      <c r="H304" s="2"/>
    </row>
    <row r="305" spans="1:8">
      <c r="A305" s="3"/>
      <c r="B305" s="3"/>
      <c r="C305" s="2"/>
      <c r="H305" s="2"/>
    </row>
    <row r="306" spans="1:8">
      <c r="A306" s="3"/>
      <c r="B306" s="3"/>
      <c r="C306" s="2"/>
      <c r="H306" s="2"/>
    </row>
    <row r="307" spans="1:8">
      <c r="A307" s="3"/>
      <c r="B307" s="3"/>
      <c r="C307" s="2"/>
      <c r="H307" s="2"/>
    </row>
    <row r="308" spans="1:8">
      <c r="A308" s="3"/>
      <c r="B308" s="3"/>
      <c r="C308" s="2"/>
      <c r="H308" s="2"/>
    </row>
    <row r="309" spans="1:8">
      <c r="A309" s="3"/>
      <c r="B309" s="3"/>
      <c r="C309" s="2"/>
      <c r="H309" s="2"/>
    </row>
    <row r="310" spans="1:8">
      <c r="A310" s="3"/>
      <c r="B310" s="3"/>
      <c r="C310" s="2"/>
      <c r="H310" s="2"/>
    </row>
    <row r="311" spans="1:8">
      <c r="A311" s="3"/>
      <c r="B311" s="3"/>
      <c r="C311" s="2"/>
      <c r="H311" s="2"/>
    </row>
    <row r="312" spans="1:8">
      <c r="A312" s="3"/>
      <c r="B312" s="3"/>
      <c r="C312" s="2"/>
      <c r="H312" s="2"/>
    </row>
    <row r="313" spans="1:8">
      <c r="A313" s="3"/>
      <c r="B313" s="3"/>
      <c r="C313" s="2"/>
      <c r="H313" s="2"/>
    </row>
    <row r="314" spans="1:8">
      <c r="A314" s="3"/>
      <c r="B314" s="3"/>
      <c r="C314" s="2"/>
    </row>
    <row r="315" spans="1:8">
      <c r="A315" s="3"/>
      <c r="B315" s="3"/>
      <c r="C315" s="2"/>
    </row>
    <row r="316" spans="1:8">
      <c r="A316" s="3"/>
      <c r="B316" s="3"/>
      <c r="C316" s="2"/>
    </row>
    <row r="317" spans="1:8">
      <c r="A317" s="3"/>
      <c r="B317" s="3"/>
      <c r="C317" s="2"/>
    </row>
    <row r="318" spans="1:8">
      <c r="A318" s="3"/>
      <c r="B318" s="3"/>
      <c r="C318" s="2"/>
    </row>
    <row r="319" spans="1:8">
      <c r="A319" s="3"/>
      <c r="B319" s="3"/>
      <c r="C319" s="2"/>
    </row>
    <row r="320" spans="1:8">
      <c r="A320" s="3"/>
      <c r="B320" s="3"/>
      <c r="C320" s="2"/>
    </row>
    <row r="321" spans="1:3">
      <c r="A321" s="3"/>
      <c r="B321" s="3"/>
      <c r="C321" s="2"/>
    </row>
    <row r="322" spans="1:3">
      <c r="A322" s="3"/>
      <c r="B322" s="3"/>
      <c r="C322" s="2"/>
    </row>
    <row r="323" spans="1:3">
      <c r="A323" s="3"/>
      <c r="B323" s="3"/>
      <c r="C323" s="2"/>
    </row>
    <row r="324" spans="1:3">
      <c r="A324" s="3"/>
      <c r="B324" s="3"/>
      <c r="C324" s="2"/>
    </row>
    <row r="325" spans="1:3">
      <c r="A325" s="3"/>
      <c r="B325" s="3"/>
      <c r="C325" s="2"/>
    </row>
    <row r="326" spans="1:3">
      <c r="A326" s="3"/>
      <c r="B326" s="3"/>
      <c r="C326" s="2"/>
    </row>
    <row r="327" spans="1:3">
      <c r="A327" s="3"/>
      <c r="B327" s="3"/>
      <c r="C327" s="2"/>
    </row>
    <row r="328" spans="1:3">
      <c r="A328" s="3"/>
      <c r="B328" s="3"/>
      <c r="C328" s="2"/>
    </row>
    <row r="329" spans="1:3">
      <c r="A329" s="3"/>
      <c r="B329" s="3"/>
      <c r="C329" s="2"/>
    </row>
    <row r="330" spans="1:3">
      <c r="A330" s="3"/>
      <c r="B330" s="3"/>
      <c r="C330" s="2"/>
    </row>
    <row r="331" spans="1:3">
      <c r="A331" s="3"/>
      <c r="B331" s="3"/>
      <c r="C331" s="2"/>
    </row>
    <row r="332" spans="1:3">
      <c r="A332" s="3"/>
      <c r="B332" s="3"/>
      <c r="C332" s="2"/>
    </row>
    <row r="333" spans="1:3">
      <c r="A333" s="3"/>
      <c r="B333" s="3"/>
      <c r="C333" s="2"/>
    </row>
    <row r="334" spans="1:3">
      <c r="A334" s="3"/>
      <c r="B334" s="3"/>
      <c r="C334" s="2"/>
    </row>
    <row r="335" spans="1:3">
      <c r="A335" s="3"/>
      <c r="B335" s="3"/>
      <c r="C335" s="2"/>
    </row>
    <row r="336" spans="1:3">
      <c r="A336" s="3"/>
      <c r="B336" s="3"/>
      <c r="C336" s="2"/>
    </row>
    <row r="337" spans="1:3">
      <c r="A337" s="3"/>
      <c r="B337" s="3"/>
      <c r="C337" s="2"/>
    </row>
    <row r="338" spans="1:3">
      <c r="A338" s="3"/>
      <c r="B338" s="3"/>
      <c r="C338" s="2"/>
    </row>
    <row r="339" spans="1:3">
      <c r="A339" s="3"/>
      <c r="B339" s="3"/>
      <c r="C339" s="2"/>
    </row>
    <row r="340" spans="1:3">
      <c r="A340" s="3"/>
      <c r="B340" s="3"/>
      <c r="C340" s="2"/>
    </row>
    <row r="341" spans="1:3">
      <c r="A341" s="3"/>
      <c r="B341" s="3"/>
      <c r="C341" s="2"/>
    </row>
    <row r="342" spans="1:3">
      <c r="A342" s="3"/>
      <c r="B342" s="3"/>
      <c r="C342" s="2"/>
    </row>
    <row r="343" spans="1:3">
      <c r="A343" s="3"/>
      <c r="B343" s="3"/>
      <c r="C343" s="2"/>
    </row>
    <row r="344" spans="1:3">
      <c r="A344" s="3"/>
      <c r="B344" s="3"/>
      <c r="C344" s="2"/>
    </row>
    <row r="345" spans="1:3">
      <c r="A345" s="3"/>
      <c r="B345" s="3"/>
      <c r="C345" s="2"/>
    </row>
    <row r="346" spans="1:3">
      <c r="A346" s="3"/>
      <c r="B346" s="3"/>
      <c r="C346" s="2"/>
    </row>
    <row r="347" spans="1:3">
      <c r="A347" s="3"/>
      <c r="B347" s="3"/>
      <c r="C347" s="2"/>
    </row>
    <row r="348" spans="1:3">
      <c r="A348" s="3"/>
      <c r="B348" s="3"/>
    </row>
    <row r="349" spans="1:3">
      <c r="A349" s="3"/>
      <c r="B349" s="3"/>
    </row>
    <row r="350" spans="1:3">
      <c r="A350" s="3"/>
      <c r="B350" s="3"/>
    </row>
    <row r="351" spans="1:3">
      <c r="A351" s="3"/>
      <c r="B351" s="3"/>
    </row>
    <row r="352" spans="1:3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</sheetData>
  <mergeCells count="8">
    <mergeCell ref="A270:C270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9" orientation="portrait" r:id="rId1"/>
  <headerFooter differentFirst="1" alignWithMargins="0">
    <oddHeader xml:space="preserve">&amp;C&amp;"Times New Roman,курсив"&amp;14&amp;P&amp;R&amp;"Times New Roman,курсив"&amp;16Продовження додатка  </oddHeader>
  </headerFooter>
  <rowBreaks count="1" manualBreakCount="1">
    <brk id="27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f_upr232</cp:lastModifiedBy>
  <cp:lastPrinted>2018-07-18T07:57:15Z</cp:lastPrinted>
  <dcterms:created xsi:type="dcterms:W3CDTF">2005-04-08T06:14:05Z</dcterms:created>
  <dcterms:modified xsi:type="dcterms:W3CDTF">2018-07-24T06:13:44Z</dcterms:modified>
</cp:coreProperties>
</file>