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40" windowWidth="11340" windowHeight="555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додаток!$A$1:$F$231</definedName>
  </definedNames>
  <calcPr calcId="145621"/>
</workbook>
</file>

<file path=xl/calcChain.xml><?xml version="1.0" encoding="utf-8"?>
<calcChain xmlns="http://schemas.openxmlformats.org/spreadsheetml/2006/main">
  <c r="E71" i="4" l="1"/>
  <c r="E68" i="4"/>
  <c r="E42" i="4"/>
  <c r="E55" i="4"/>
  <c r="E54" i="4" s="1"/>
  <c r="F55" i="4"/>
  <c r="D52" i="4"/>
  <c r="E91" i="4"/>
  <c r="E59" i="4"/>
  <c r="F59" i="4" s="1"/>
  <c r="F58" i="4"/>
  <c r="F54" i="4" l="1"/>
  <c r="E53" i="4"/>
  <c r="E52" i="4" l="1"/>
  <c r="F52" i="4" s="1"/>
  <c r="F53" i="4"/>
  <c r="E34" i="4"/>
  <c r="E191" i="4"/>
  <c r="F191" i="4" s="1"/>
  <c r="E192" i="4"/>
  <c r="F192" i="4" s="1"/>
  <c r="E190" i="4" l="1"/>
  <c r="F190" i="4" s="1"/>
  <c r="E95" i="4"/>
  <c r="F95" i="4" s="1"/>
  <c r="E94" i="4"/>
  <c r="F94" i="4" s="1"/>
  <c r="E22" i="4"/>
  <c r="E20" i="4" l="1"/>
  <c r="E222" i="4" l="1"/>
  <c r="F222" i="4" s="1"/>
  <c r="D218" i="4"/>
  <c r="D92" i="4"/>
  <c r="E92" i="4"/>
  <c r="E93" i="4"/>
  <c r="E62" i="4"/>
  <c r="E61" i="4" s="1"/>
  <c r="F61" i="4" s="1"/>
  <c r="E63" i="4"/>
  <c r="F63" i="4"/>
  <c r="D61" i="4"/>
  <c r="F62" i="4"/>
  <c r="E19" i="4"/>
  <c r="E21" i="4"/>
  <c r="F21" i="4" s="1"/>
  <c r="E212" i="4"/>
  <c r="F212" i="4" s="1"/>
  <c r="E209" i="4"/>
  <c r="E207" i="4" s="1"/>
  <c r="F207" i="4" s="1"/>
  <c r="F210" i="4"/>
  <c r="D204" i="4"/>
  <c r="E51" i="4"/>
  <c r="F51" i="4" s="1"/>
  <c r="E50" i="4"/>
  <c r="D50" i="4"/>
  <c r="F50" i="4" s="1"/>
  <c r="E49" i="4"/>
  <c r="F49" i="4" s="1"/>
  <c r="E182" i="4"/>
  <c r="E181" i="4" s="1"/>
  <c r="F181" i="4" s="1"/>
  <c r="E177" i="4"/>
  <c r="E175" i="4"/>
  <c r="E173" i="4"/>
  <c r="E171" i="4"/>
  <c r="E168" i="4"/>
  <c r="E163" i="4"/>
  <c r="F163" i="4" s="1"/>
  <c r="E38" i="4"/>
  <c r="F38" i="4" s="1"/>
  <c r="E37" i="4"/>
  <c r="D37" i="4"/>
  <c r="D46" i="4"/>
  <c r="E48" i="4"/>
  <c r="E47" i="4" s="1"/>
  <c r="E46" i="4" s="1"/>
  <c r="D48" i="4"/>
  <c r="E198" i="4"/>
  <c r="E203" i="4"/>
  <c r="F203" i="4" s="1"/>
  <c r="E154" i="4"/>
  <c r="E153" i="4" s="1"/>
  <c r="E161" i="4"/>
  <c r="E160" i="4" s="1"/>
  <c r="E151" i="4"/>
  <c r="F151" i="4" s="1"/>
  <c r="E145" i="4"/>
  <c r="E144" i="4" s="1"/>
  <c r="D160" i="4"/>
  <c r="E202" i="4"/>
  <c r="F202" i="4" s="1"/>
  <c r="F154" i="4"/>
  <c r="D145" i="4"/>
  <c r="F145" i="4" s="1"/>
  <c r="E41" i="4"/>
  <c r="D39" i="4"/>
  <c r="F40" i="4"/>
  <c r="E39" i="4"/>
  <c r="D41" i="4"/>
  <c r="F42" i="4"/>
  <c r="E211" i="4" l="1"/>
  <c r="F211" i="4" s="1"/>
  <c r="E206" i="4"/>
  <c r="F206" i="4" s="1"/>
  <c r="E205" i="4"/>
  <c r="F93" i="4"/>
  <c r="E89" i="4"/>
  <c r="E221" i="4"/>
  <c r="E220" i="4"/>
  <c r="F220" i="4" s="1"/>
  <c r="F92" i="4"/>
  <c r="F209" i="4"/>
  <c r="F47" i="4"/>
  <c r="F48" i="4"/>
  <c r="F182" i="4"/>
  <c r="F153" i="4"/>
  <c r="E152" i="4"/>
  <c r="F152" i="4" s="1"/>
  <c r="D144" i="4"/>
  <c r="F198" i="4"/>
  <c r="E150" i="4"/>
  <c r="F150" i="4" s="1"/>
  <c r="E197" i="4"/>
  <c r="E162" i="4"/>
  <c r="F162" i="4" s="1"/>
  <c r="F37" i="4"/>
  <c r="F39" i="4"/>
  <c r="F46" i="4"/>
  <c r="E201" i="4"/>
  <c r="F201" i="4" s="1"/>
  <c r="F161" i="4"/>
  <c r="E149" i="4"/>
  <c r="F149" i="4" s="1"/>
  <c r="F144" i="4"/>
  <c r="F160" i="4"/>
  <c r="F41" i="4"/>
  <c r="E204" i="4" l="1"/>
  <c r="F204" i="4" s="1"/>
  <c r="F205" i="4"/>
  <c r="F221" i="4"/>
  <c r="E219" i="4"/>
  <c r="F197" i="4"/>
  <c r="E196" i="4"/>
  <c r="F196" i="4" l="1"/>
  <c r="E218" i="4"/>
  <c r="F218" i="4" s="1"/>
  <c r="F219" i="4"/>
  <c r="E112" i="4"/>
  <c r="F22" i="4"/>
  <c r="E124" i="4"/>
  <c r="F124" i="4" s="1"/>
  <c r="E123" i="4" l="1"/>
  <c r="F123" i="4" l="1"/>
  <c r="E74" i="4" l="1"/>
  <c r="E73" i="4"/>
  <c r="E72" i="4"/>
  <c r="E70" i="4"/>
  <c r="E69" i="4"/>
  <c r="D65" i="4" l="1"/>
  <c r="D64" i="4" s="1"/>
  <c r="E217" i="4"/>
  <c r="E216" i="4" s="1"/>
  <c r="D213" i="4"/>
  <c r="E200" i="4"/>
  <c r="F177" i="4"/>
  <c r="F173" i="4"/>
  <c r="E170" i="4"/>
  <c r="E176" i="4"/>
  <c r="F176" i="4" s="1"/>
  <c r="E174" i="4"/>
  <c r="F174" i="4" s="1"/>
  <c r="E172" i="4"/>
  <c r="F172" i="4" s="1"/>
  <c r="E167" i="4"/>
  <c r="E180" i="4"/>
  <c r="E179" i="4" s="1"/>
  <c r="D169" i="4"/>
  <c r="D164" i="4"/>
  <c r="F175" i="4"/>
  <c r="E187" i="4"/>
  <c r="E186" i="4" s="1"/>
  <c r="E189" i="4"/>
  <c r="E185" i="4" s="1"/>
  <c r="D183" i="4"/>
  <c r="E45" i="4"/>
  <c r="E44" i="4" s="1"/>
  <c r="D43" i="4"/>
  <c r="E156" i="4"/>
  <c r="E155" i="4" s="1"/>
  <c r="E159" i="4"/>
  <c r="E158" i="4" s="1"/>
  <c r="E157" i="4" s="1"/>
  <c r="E148" i="4"/>
  <c r="E143" i="4"/>
  <c r="D138" i="4"/>
  <c r="E36" i="4"/>
  <c r="E35" i="4" s="1"/>
  <c r="E33" i="4" s="1"/>
  <c r="D32" i="4"/>
  <c r="D193" i="4"/>
  <c r="F80" i="4"/>
  <c r="F78" i="4"/>
  <c r="F84" i="4"/>
  <c r="F83" i="4"/>
  <c r="F82" i="4"/>
  <c r="F81" i="4"/>
  <c r="F79" i="4"/>
  <c r="D75" i="4"/>
  <c r="D74" i="4"/>
  <c r="D73" i="4"/>
  <c r="D72" i="4"/>
  <c r="F72" i="4" s="1"/>
  <c r="D71" i="4"/>
  <c r="F71" i="4" s="1"/>
  <c r="D70" i="4"/>
  <c r="D69" i="4"/>
  <c r="D68" i="4"/>
  <c r="E130" i="4"/>
  <c r="E127" i="4" s="1"/>
  <c r="D129" i="4"/>
  <c r="D127" i="4"/>
  <c r="D126" i="4"/>
  <c r="E137" i="4"/>
  <c r="E136" i="4" s="1"/>
  <c r="E135" i="4"/>
  <c r="F135" i="4" s="1"/>
  <c r="D131" i="4"/>
  <c r="E31" i="4"/>
  <c r="E30" i="4" s="1"/>
  <c r="E29" i="4" s="1"/>
  <c r="E28" i="4" s="1"/>
  <c r="D31" i="4"/>
  <c r="D30" i="4" s="1"/>
  <c r="D29" i="4"/>
  <c r="D28" i="4" s="1"/>
  <c r="E60" i="4"/>
  <c r="D57" i="4"/>
  <c r="D56" i="4" s="1"/>
  <c r="F60" i="4"/>
  <c r="E122" i="4"/>
  <c r="E119" i="4" s="1"/>
  <c r="D122" i="4"/>
  <c r="E121" i="4"/>
  <c r="D121" i="4"/>
  <c r="D120" i="4" s="1"/>
  <c r="D119" i="4"/>
  <c r="D118" i="4"/>
  <c r="D117" i="4" s="1"/>
  <c r="E120" i="4"/>
  <c r="E25" i="4"/>
  <c r="E27" i="4"/>
  <c r="E26" i="4" s="1"/>
  <c r="D27" i="4"/>
  <c r="D26" i="4" s="1"/>
  <c r="D24" i="4"/>
  <c r="D23" i="4" s="1"/>
  <c r="D16" i="4"/>
  <c r="E57" i="4" l="1"/>
  <c r="E56" i="4" s="1"/>
  <c r="E142" i="4"/>
  <c r="E141" i="4" s="1"/>
  <c r="E199" i="4"/>
  <c r="E194" i="4" s="1"/>
  <c r="E193" i="4" s="1"/>
  <c r="E195" i="4"/>
  <c r="F185" i="4"/>
  <c r="E18" i="4"/>
  <c r="E118" i="4"/>
  <c r="E117" i="4" s="1"/>
  <c r="E215" i="4"/>
  <c r="F216" i="4"/>
  <c r="E178" i="4"/>
  <c r="F179" i="4"/>
  <c r="F130" i="4"/>
  <c r="F148" i="4"/>
  <c r="E147" i="4"/>
  <c r="E140" i="4" s="1"/>
  <c r="F171" i="4"/>
  <c r="E166" i="4"/>
  <c r="E169" i="4"/>
  <c r="F170" i="4"/>
  <c r="F69" i="4"/>
  <c r="E188" i="4"/>
  <c r="E184" i="4" s="1"/>
  <c r="E43" i="4"/>
  <c r="F43" i="4" s="1"/>
  <c r="F44" i="4"/>
  <c r="F45" i="4"/>
  <c r="E146" i="4"/>
  <c r="E139" i="4" s="1"/>
  <c r="E138" i="4" s="1"/>
  <c r="F68" i="4"/>
  <c r="E66" i="4"/>
  <c r="E129" i="4"/>
  <c r="E128" i="4" s="1"/>
  <c r="E126" i="4" s="1"/>
  <c r="E125" i="4" s="1"/>
  <c r="D66" i="4"/>
  <c r="F70" i="4"/>
  <c r="E32" i="4"/>
  <c r="F127" i="4"/>
  <c r="E76" i="4"/>
  <c r="F126" i="4"/>
  <c r="D128" i="4"/>
  <c r="F128" i="4" s="1"/>
  <c r="D125" i="4"/>
  <c r="E90" i="4"/>
  <c r="E88" i="4" s="1"/>
  <c r="E134" i="4"/>
  <c r="F134" i="4" s="1"/>
  <c r="E133" i="4"/>
  <c r="E132" i="4" s="1"/>
  <c r="E131" i="4" s="1"/>
  <c r="F121" i="4"/>
  <c r="F120" i="4"/>
  <c r="E24" i="4"/>
  <c r="E23" i="4" s="1"/>
  <c r="E15" i="4"/>
  <c r="E14" i="4" s="1"/>
  <c r="D13" i="4"/>
  <c r="D10" i="4"/>
  <c r="D12" i="4"/>
  <c r="D11" i="4" s="1"/>
  <c r="F15" i="4"/>
  <c r="E165" i="4" l="1"/>
  <c r="E164" i="4" s="1"/>
  <c r="E87" i="4"/>
  <c r="F125" i="4"/>
  <c r="F129" i="4"/>
  <c r="E183" i="4"/>
  <c r="F215" i="4"/>
  <c r="E214" i="4"/>
  <c r="F76" i="4"/>
  <c r="E75" i="4"/>
  <c r="E111" i="4"/>
  <c r="E213" i="4" l="1"/>
  <c r="F75" i="4"/>
  <c r="E65" i="4"/>
  <c r="E64" i="4" s="1"/>
  <c r="E17" i="4" s="1"/>
  <c r="F112" i="4"/>
  <c r="E110" i="4"/>
  <c r="F110" i="4" s="1"/>
  <c r="F111" i="4"/>
  <c r="E109" i="4" l="1"/>
  <c r="E105" i="4"/>
  <c r="E102" i="4"/>
  <c r="E116" i="4"/>
  <c r="F116" i="4" s="1"/>
  <c r="D113" i="4"/>
  <c r="F105" i="4"/>
  <c r="F102" i="4"/>
  <c r="D96" i="4"/>
  <c r="D19" i="4"/>
  <c r="E228" i="4" l="1"/>
  <c r="E108" i="4"/>
  <c r="E104" i="4"/>
  <c r="E103" i="4" s="1"/>
  <c r="E101" i="4"/>
  <c r="E99" i="4"/>
  <c r="F99" i="4" s="1"/>
  <c r="F109" i="4"/>
  <c r="E107" i="4"/>
  <c r="E106" i="4" s="1"/>
  <c r="E115" i="4"/>
  <c r="E100" i="4"/>
  <c r="D17" i="4"/>
  <c r="D86" i="4"/>
  <c r="D85" i="4"/>
  <c r="D226" i="4"/>
  <c r="F107" i="4" l="1"/>
  <c r="E98" i="4"/>
  <c r="E86" i="4" s="1"/>
  <c r="E229" i="4" s="1"/>
  <c r="E114" i="4"/>
  <c r="F115" i="4"/>
  <c r="E226" i="4" l="1"/>
  <c r="F114" i="4"/>
  <c r="E113" i="4"/>
  <c r="F168" i="4"/>
  <c r="F167" i="4"/>
  <c r="F113" i="4" l="1"/>
  <c r="E97" i="4"/>
  <c r="E96" i="4" s="1"/>
  <c r="E85" i="4" s="1"/>
  <c r="F166" i="4"/>
  <c r="F73" i="4"/>
  <c r="F108" i="4" l="1"/>
  <c r="F217" i="4"/>
  <c r="F31" i="4"/>
  <c r="F155" i="4"/>
  <c r="F156" i="4"/>
  <c r="F195" i="4"/>
  <c r="F200" i="4"/>
  <c r="F158" i="4"/>
  <c r="F157" i="4"/>
  <c r="F159" i="4"/>
  <c r="F140" i="4"/>
  <c r="F142" i="4"/>
  <c r="F36" i="4"/>
  <c r="F91" i="4"/>
  <c r="F20" i="4"/>
  <c r="F27" i="4"/>
  <c r="F26" i="4"/>
  <c r="F133" i="4"/>
  <c r="F137" i="4"/>
  <c r="D224" i="4"/>
  <c r="D227" i="4"/>
  <c r="F228" i="4"/>
  <c r="F189" i="4"/>
  <c r="F187" i="4"/>
  <c r="F180" i="4"/>
  <c r="F103" i="4"/>
  <c r="F147" i="4"/>
  <c r="D223" i="4"/>
  <c r="F25" i="4"/>
  <c r="F229" i="4"/>
  <c r="F143" i="4"/>
  <c r="F104" i="4"/>
  <c r="F146" i="4"/>
  <c r="F226" i="4"/>
  <c r="E227" i="4"/>
  <c r="F227" i="4" s="1"/>
  <c r="F122" i="4"/>
  <c r="F119" i="4"/>
  <c r="F30" i="4"/>
  <c r="F136" i="4"/>
  <c r="F35" i="4"/>
  <c r="F24" i="4"/>
  <c r="F101" i="4"/>
  <c r="F169" i="4"/>
  <c r="F89" i="4"/>
  <c r="F100" i="4"/>
  <c r="F178" i="4"/>
  <c r="F164" i="4"/>
  <c r="F165" i="4"/>
  <c r="F132" i="4"/>
  <c r="F131" i="4"/>
  <c r="F23" i="4"/>
  <c r="F199" i="4"/>
  <c r="F34" i="4" l="1"/>
  <c r="F188" i="4"/>
  <c r="F106" i="4"/>
  <c r="F90" i="4"/>
  <c r="F28" i="4"/>
  <c r="F29" i="4"/>
  <c r="F56" i="4"/>
  <c r="F57" i="4"/>
  <c r="F186" i="4"/>
  <c r="F141" i="4"/>
  <c r="F193" i="4"/>
  <c r="F194" i="4"/>
  <c r="F98" i="4"/>
  <c r="F66" i="4"/>
  <c r="F74" i="4"/>
  <c r="F117" i="4" l="1"/>
  <c r="F118" i="4"/>
  <c r="F32" i="4"/>
  <c r="F33" i="4"/>
  <c r="F18" i="4"/>
  <c r="F19" i="4"/>
  <c r="F86" i="4"/>
  <c r="F65" i="4"/>
  <c r="F64" i="4"/>
  <c r="F138" i="4"/>
  <c r="F139" i="4"/>
  <c r="F183" i="4"/>
  <c r="F184" i="4"/>
  <c r="F88" i="4" l="1"/>
  <c r="F87" i="4"/>
  <c r="F214" i="4"/>
  <c r="F213" i="4"/>
  <c r="F97" i="4" l="1"/>
  <c r="F17" i="4" l="1"/>
  <c r="F96" i="4"/>
  <c r="F85" i="4"/>
  <c r="E223" i="4" l="1"/>
  <c r="F223" i="4" s="1"/>
  <c r="F14" i="4"/>
  <c r="E13" i="4" l="1"/>
  <c r="F13" i="4" l="1"/>
  <c r="E12" i="4"/>
  <c r="F12" i="4" l="1"/>
  <c r="E11" i="4"/>
  <c r="E10" i="4" l="1"/>
  <c r="F11" i="4"/>
  <c r="F10" i="4" l="1"/>
  <c r="E16" i="4"/>
  <c r="E225" i="4" s="1"/>
  <c r="F16" i="4" l="1"/>
  <c r="E224" i="4" l="1"/>
  <c r="F224" i="4" s="1"/>
  <c r="F225" i="4"/>
</calcChain>
</file>

<file path=xl/sharedStrings.xml><?xml version="1.0" encoding="utf-8"?>
<sst xmlns="http://schemas.openxmlformats.org/spreadsheetml/2006/main" count="342" uniqueCount="188">
  <si>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</si>
  <si>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</si>
  <si>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</si>
  <si>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</si>
  <si>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</si>
  <si>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</si>
  <si>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</si>
  <si>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Управління благоустрою та житлової політики виконкому Криворізької міської ради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</si>
  <si>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</si>
  <si>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</si>
  <si>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</si>
  <si>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</si>
  <si>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</si>
  <si>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>Виконавчий комітет Криворізької міської ради</t>
  </si>
  <si>
    <t>Управління освіти і науки виконкому Криворізької міської ради</t>
  </si>
  <si>
    <t>Код  програмної класифікації видатків та кредитування місцевого бюджету</t>
  </si>
  <si>
    <t>Управління містобудування, архітектури та земельних відносин виконкому Криворізької міської ради</t>
  </si>
  <si>
    <t>у тому числі видатки розвитку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</si>
  <si>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</si>
  <si>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</si>
  <si>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</si>
  <si>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Служба у справах дітей виконкому Криворізької міської ради</t>
  </si>
  <si>
    <t>у тому числі видатки споживання</t>
  </si>
  <si>
    <t>Управління культури виконкому Криворізької міської ради</t>
  </si>
  <si>
    <t>Інші заходи, пов'язані з економічною діяльністю</t>
  </si>
  <si>
    <t>Внески до статутного капіталу суб’єктів господарювання</t>
  </si>
  <si>
    <t xml:space="preserve">Відділ транспорту і зв'язку виконкому Криворізької міської ради 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</si>
  <si>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</si>
  <si>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</si>
  <si>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</si>
  <si>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Фінансове управління виконкому Криворізької міської ради</t>
  </si>
  <si>
    <t xml:space="preserve">Керуюча справами виконкому </t>
  </si>
  <si>
    <t>у тому числі за бюджетами районих у місті рад</t>
  </si>
  <si>
    <t>Довгинцівської</t>
  </si>
  <si>
    <t xml:space="preserve">Проект унесення змін до показників міського бюджету на 2018 рік </t>
  </si>
  <si>
    <t xml:space="preserve">Затверджено на 2018 рік </t>
  </si>
  <si>
    <t>Уточнені показники на 2018 рік</t>
  </si>
  <si>
    <t>0200000</t>
  </si>
  <si>
    <t>0210000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</si>
  <si>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</si>
  <si>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0210160</t>
  </si>
  <si>
    <t>0160</t>
  </si>
  <si>
    <t>0600000</t>
  </si>
  <si>
    <t>0610000</t>
  </si>
  <si>
    <t>Надання дошкільної освіти</t>
  </si>
  <si>
    <t>0611010</t>
  </si>
  <si>
    <t>0611020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</si>
  <si>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</si>
  <si>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0611160</t>
  </si>
  <si>
    <t>Інші програми, заклади та заходи у сфері освіти</t>
  </si>
  <si>
    <t>з них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 станом на 01.01.2018</t>
  </si>
  <si>
    <t>Інші програми та заходи у сфері освіти</t>
  </si>
  <si>
    <t>1162</t>
  </si>
  <si>
    <t>0611162</t>
  </si>
  <si>
    <t>Виконання інвестиційних проектів</t>
  </si>
  <si>
    <t>7360</t>
  </si>
  <si>
    <t>0617360</t>
  </si>
  <si>
    <t>0617363</t>
  </si>
  <si>
    <t>7363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</si>
  <si>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</si>
  <si>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</si>
  <si>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0615030</t>
  </si>
  <si>
    <t>0615031</t>
  </si>
  <si>
    <t>0700000</t>
  </si>
  <si>
    <t>0710000</t>
  </si>
  <si>
    <t>Доходи загального фонду, разом:</t>
  </si>
  <si>
    <t>40000000</t>
  </si>
  <si>
    <t>Офіційні трансферти (розшифровуються за видами трансфертів та бюджетів)</t>
  </si>
  <si>
    <t>41000000</t>
  </si>
  <si>
    <t xml:space="preserve">Від органів державного управління </t>
  </si>
  <si>
    <t>41050000</t>
  </si>
  <si>
    <t>41053900</t>
  </si>
  <si>
    <t>Інші субвенції  з місцевого бюджету, у тому числі:</t>
  </si>
  <si>
    <t>Субвенції з місцевих бюджетів іншим бюджетам</t>
  </si>
  <si>
    <t xml:space="preserve"> - на проведення досліджень та надання медичної допомоги мешканцям Карпівської сільської ради Широківського району Дніпропетровської області</t>
  </si>
  <si>
    <t>Доходи загального та спеціального фондів разом:</t>
  </si>
  <si>
    <t>0712010</t>
  </si>
  <si>
    <t>0712110</t>
  </si>
  <si>
    <t>0712111</t>
  </si>
  <si>
    <t>Первинна медико-санітарна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</si>
  <si>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</si>
  <si>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Управління з питань надзвичайних ситуацій та цивільного захисту населення виконавчого комітету Криворізької міської ради</t>
  </si>
  <si>
    <t>Інші заклади та заходи в галузі культури і мистецтва</t>
  </si>
  <si>
    <t>1014082</t>
  </si>
  <si>
    <t>4082</t>
  </si>
  <si>
    <t>Інші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</si>
  <si>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</si>
  <si>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Забезпечення діяльності палаців i будинків культури, клубів, центрів дозвілля та iнших клубних закладів</t>
  </si>
  <si>
    <t>0900000</t>
  </si>
  <si>
    <t>0910000</t>
  </si>
  <si>
    <t>0913110</t>
  </si>
  <si>
    <t>0913111</t>
  </si>
  <si>
    <t>3111</t>
  </si>
  <si>
    <t>Заклади і заходи з питань дітей та їх соціального захисту</t>
  </si>
  <si>
    <t>Утримання закладів, що надають соціальні послуги дітям, які опинились у складних життєвих обставинах</t>
  </si>
  <si>
    <t>Інші дотації з місцевого бюджету</t>
  </si>
  <si>
    <t>Металургійної</t>
  </si>
  <si>
    <t>Покровської</t>
  </si>
  <si>
    <t>Інгулецької</t>
  </si>
  <si>
    <t>Саксаганської</t>
  </si>
  <si>
    <t>Тернівської</t>
  </si>
  <si>
    <t>Центрально-Міської</t>
  </si>
  <si>
    <t>3719510</t>
  </si>
  <si>
    <t>9510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</si>
  <si>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</si>
  <si>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Організація благоустрою населених пунктів</t>
  </si>
  <si>
    <t>Інша економічна діяльність</t>
  </si>
  <si>
    <t>1217693</t>
  </si>
  <si>
    <t>7693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</si>
  <si>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</si>
  <si>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</si>
  <si>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1217310</t>
  </si>
  <si>
    <t>7310</t>
  </si>
  <si>
    <t>Будівництво об'єктів житлово-комунального господарства</t>
  </si>
  <si>
    <t>1217691</t>
  </si>
  <si>
    <t>7691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</si>
  <si>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 і фонди, утворені Верховною Радою Автономної Республіки Крим, органами місцевого самоврядування і місцевими органами виконавчої влади</t>
  </si>
  <si>
    <t>Здійснення  заходів із землеустрою</t>
  </si>
  <si>
    <t>1617130</t>
  </si>
  <si>
    <t>7130</t>
  </si>
  <si>
    <t>1617660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</si>
  <si>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</si>
  <si>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</si>
  <si>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зал БР</t>
  </si>
  <si>
    <t>1717310</t>
  </si>
  <si>
    <t>1717320</t>
  </si>
  <si>
    <t>7320</t>
  </si>
  <si>
    <t>Будівництво об'єктів соціально-культурного призначення</t>
  </si>
  <si>
    <t>Будівництво освітніх установ та закладів</t>
  </si>
  <si>
    <t>1717321</t>
  </si>
  <si>
    <t>7321</t>
  </si>
  <si>
    <t>1717322</t>
  </si>
  <si>
    <t>7322</t>
  </si>
  <si>
    <t>Будівництво медичних установ та закладів</t>
  </si>
  <si>
    <t>Будівництво установ та закладів культури</t>
  </si>
  <si>
    <t>1717324</t>
  </si>
  <si>
    <t>7324</t>
  </si>
  <si>
    <t>1717325</t>
  </si>
  <si>
    <t>7325</t>
  </si>
  <si>
    <t>Будівництво споруд, установ та закладів фізичної культури і спорту</t>
  </si>
  <si>
    <t>1717690</t>
  </si>
  <si>
    <t>7690</t>
  </si>
  <si>
    <t>1717691</t>
  </si>
  <si>
    <t>Управління комунальної власності міста виконкому Криворізької міської ради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</si>
  <si>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01.01.2018</t>
  </si>
  <si>
    <t xml:space="preserve"> - дефіцит за рахунок розподілу залишків коштів, що склалися на рахунках спеціального фонду міського бюджету станом на 01.01.2018</t>
  </si>
  <si>
    <t>Т.Мала</t>
  </si>
  <si>
    <t>Заходи із запобігання та ліквідації надзвичайних ситуацій та наслідків стихійного лиха</t>
  </si>
  <si>
    <t xml:space="preserve">             Додаток</t>
  </si>
  <si>
    <t xml:space="preserve">Виконання інвестиційних проектів в рамках здійснення заходів щодо соціально-економічного розвитку окремих територій (включаючи співфінансування)
</t>
  </si>
  <si>
    <t>0718340</t>
  </si>
  <si>
    <t>8340</t>
  </si>
  <si>
    <t>Природоохоронні заходи за рахунок цільових фондів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</si>
  <si>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</si>
  <si>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9800</t>
  </si>
  <si>
    <t>0219800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</si>
  <si>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</si>
  <si>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</si>
  <si>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Забезпечення надання послуг з перевезення пасажирів електротранспортом</t>
  </si>
  <si>
    <t>Інші заходи у сфері електротранспорту</t>
  </si>
  <si>
    <t>Забезпечення надійної та безперебійної експлуатації ліфтів</t>
  </si>
  <si>
    <t>Забезпечення надання послуг з перевезення пасажирів електро-транспортом</t>
  </si>
  <si>
    <t>Інші заходи у сфері електротранс-порту</t>
  </si>
  <si>
    <t>1917420</t>
  </si>
  <si>
    <t>1917426</t>
  </si>
  <si>
    <t>1917690</t>
  </si>
  <si>
    <t>1917693</t>
  </si>
  <si>
    <t>Інші заходи у сфері електротранспор-ту</t>
  </si>
  <si>
    <t>Забезпечення надання послуг з перевезення пасажирів автомобільним транспортом</t>
  </si>
  <si>
    <t>Інші заходи у сфері автотранспорту</t>
  </si>
  <si>
    <t>1218340</t>
  </si>
  <si>
    <t>1718340</t>
  </si>
  <si>
    <t>1917410</t>
  </si>
  <si>
    <t>1917413</t>
  </si>
  <si>
    <t>Управління екології виконкому Криворізької міської ради</t>
  </si>
  <si>
    <t>2818340</t>
  </si>
  <si>
    <t>видатки розвитку</t>
  </si>
  <si>
    <t xml:space="preserve"> видатки споживання</t>
  </si>
  <si>
    <t>2819800</t>
  </si>
  <si>
    <t>у тому числі:</t>
  </si>
  <si>
    <t>Інша діяльність у сфері державного управління</t>
  </si>
  <si>
    <t>0210180</t>
  </si>
  <si>
    <t>0180</t>
  </si>
  <si>
    <t>Департамент адміністративних послуг виконкому Криворізької міської ради</t>
  </si>
  <si>
    <t>3410180</t>
  </si>
  <si>
    <t>у тому числі комунальні послуги та енергоносії</t>
  </si>
  <si>
    <t xml:space="preserve">Управління економіки виконкому Криворізької міської ради </t>
  </si>
  <si>
    <t xml:space="preserve">           24.01.2018 №39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</si>
</sst>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family val="1"/>
      <charset val="204"/>
    </font>
    <font>
      <i/>
      <sz val="14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5" fillId="0" borderId="0" xfId="0" applyFont="1"/>
    <xf numFmtId="49" fontId="2" fillId="3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/>
    <xf numFmtId="4" fontId="0" fillId="0" borderId="0" xfId="0" applyNumberFormat="1"/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4" fontId="26" fillId="0" borderId="10" xfId="0" applyNumberFormat="1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4" fontId="28" fillId="0" borderId="10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tabSelected="1" topLeftCell="B1" zoomScale="87" zoomScaleNormal="87" zoomScaleSheetLayoutView="89" workbookViewId="0">
      <selection activeCell="D3" sqref="D3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6.75" customHeight="1" x14ac:dyDescent="0.7">
      <c r="A1" s="5"/>
      <c r="B1" s="5"/>
      <c r="C1" s="5"/>
      <c r="D1" s="54" t="s">
        <v>148</v>
      </c>
      <c r="E1" s="53"/>
      <c r="F1" s="34"/>
      <c r="G1" s="20"/>
    </row>
    <row r="2" spans="1:8" ht="24.75" customHeight="1" x14ac:dyDescent="0.65">
      <c r="A2" s="5"/>
      <c r="B2" s="5"/>
      <c r="C2" s="5"/>
      <c r="D2" s="54" t="s">
        <v>27</v>
      </c>
      <c r="E2" s="36"/>
      <c r="F2" s="35"/>
      <c r="G2" s="21"/>
    </row>
    <row r="3" spans="1:8" ht="18.75" customHeight="1" x14ac:dyDescent="0.3">
      <c r="A3" s="5"/>
      <c r="B3" s="5"/>
      <c r="C3" s="5"/>
      <c r="D3" s="20" t="s">
        <v>187</v>
      </c>
      <c r="E3" s="20"/>
      <c r="F3" s="21"/>
      <c r="G3" s="21"/>
    </row>
    <row r="4" spans="1:8" ht="26.25" customHeight="1" x14ac:dyDescent="0.25">
      <c r="A4" s="107" t="s">
        <v>34</v>
      </c>
      <c r="B4" s="107"/>
      <c r="C4" s="108"/>
      <c r="D4" s="108"/>
      <c r="E4" s="108"/>
      <c r="F4" s="108"/>
      <c r="G4" s="17"/>
      <c r="H4" s="1"/>
    </row>
    <row r="5" spans="1:8" ht="12" customHeight="1" x14ac:dyDescent="0.25">
      <c r="A5" s="16"/>
      <c r="B5" s="16"/>
      <c r="C5" s="17"/>
      <c r="D5" s="17"/>
      <c r="E5" s="17"/>
      <c r="F5" s="17"/>
      <c r="G5" s="17"/>
      <c r="H5" s="1"/>
    </row>
    <row r="6" spans="1:8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111" t="s">
        <v>15</v>
      </c>
      <c r="B7" s="111" t="s">
        <v>29</v>
      </c>
      <c r="C7" s="109" t="s">
        <v>1</v>
      </c>
      <c r="D7" s="109" t="s">
        <v>35</v>
      </c>
      <c r="E7" s="109" t="s">
        <v>3</v>
      </c>
      <c r="F7" s="109" t="s">
        <v>36</v>
      </c>
      <c r="G7" s="32"/>
    </row>
    <row r="8" spans="1:8" ht="66" customHeight="1" thickBot="1" x14ac:dyDescent="0.25">
      <c r="A8" s="112" t="s">
        <v>2</v>
      </c>
      <c r="B8" s="112"/>
      <c r="C8" s="110"/>
      <c r="D8" s="110"/>
      <c r="E8" s="110"/>
      <c r="F8" s="110"/>
      <c r="G8" s="32"/>
    </row>
    <row r="9" spans="1:8" ht="18.75" customHeight="1" thickBot="1" x14ac:dyDescent="0.25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2"/>
    </row>
    <row r="10" spans="1:8" ht="29.45" customHeight="1" thickBot="1" x14ac:dyDescent="0.25">
      <c r="A10" s="51"/>
      <c r="B10" s="51"/>
      <c r="C10" s="90" t="s">
        <v>65</v>
      </c>
      <c r="D10" s="51">
        <f>6591038317+252693360</f>
        <v>6843731677</v>
      </c>
      <c r="E10" s="43">
        <f>E11</f>
        <v>500000</v>
      </c>
      <c r="F10" s="51">
        <f t="shared" ref="F10:F15" si="0">D10+E10</f>
        <v>6844231677</v>
      </c>
      <c r="G10" s="32"/>
    </row>
    <row r="11" spans="1:8" ht="59.45" customHeight="1" x14ac:dyDescent="0.2">
      <c r="A11" s="91"/>
      <c r="B11" s="91" t="s">
        <v>66</v>
      </c>
      <c r="C11" s="50" t="s">
        <v>67</v>
      </c>
      <c r="D11" s="30">
        <f>D12</f>
        <v>3150708010</v>
      </c>
      <c r="E11" s="30">
        <f>E12</f>
        <v>500000</v>
      </c>
      <c r="F11" s="30">
        <f t="shared" si="0"/>
        <v>3151208010</v>
      </c>
      <c r="G11" s="32"/>
    </row>
    <row r="12" spans="1:8" ht="22.15" customHeight="1" x14ac:dyDescent="0.2">
      <c r="A12" s="91"/>
      <c r="B12" s="91" t="s">
        <v>68</v>
      </c>
      <c r="C12" s="50" t="s">
        <v>69</v>
      </c>
      <c r="D12" s="30">
        <f>2898014650+252693360</f>
        <v>3150708010</v>
      </c>
      <c r="E12" s="30">
        <f>E13</f>
        <v>500000</v>
      </c>
      <c r="F12" s="30">
        <f t="shared" si="0"/>
        <v>3151208010</v>
      </c>
      <c r="G12" s="32"/>
    </row>
    <row r="13" spans="1:8" ht="36" customHeight="1" x14ac:dyDescent="0.2">
      <c r="A13" s="92"/>
      <c r="B13" s="69" t="s">
        <v>70</v>
      </c>
      <c r="C13" s="92" t="s">
        <v>73</v>
      </c>
      <c r="D13" s="93">
        <f>1752242850+252693360</f>
        <v>2004936210</v>
      </c>
      <c r="E13" s="94">
        <f>E14</f>
        <v>500000</v>
      </c>
      <c r="F13" s="47">
        <f t="shared" si="0"/>
        <v>2005436210</v>
      </c>
      <c r="G13" s="32"/>
    </row>
    <row r="14" spans="1:8" ht="36" customHeight="1" x14ac:dyDescent="0.2">
      <c r="A14" s="92"/>
      <c r="B14" s="69" t="s">
        <v>71</v>
      </c>
      <c r="C14" s="92" t="s">
        <v>72</v>
      </c>
      <c r="D14" s="93">
        <v>14750000</v>
      </c>
      <c r="E14" s="94">
        <f>E15</f>
        <v>500000</v>
      </c>
      <c r="F14" s="47">
        <f t="shared" si="0"/>
        <v>15250000</v>
      </c>
      <c r="G14" s="32"/>
    </row>
    <row r="15" spans="1:8" ht="83.45" customHeight="1" thickBot="1" x14ac:dyDescent="0.25">
      <c r="A15" s="92"/>
      <c r="B15" s="92"/>
      <c r="C15" s="95" t="s">
        <v>74</v>
      </c>
      <c r="D15" s="96">
        <v>0</v>
      </c>
      <c r="E15" s="97">
        <f>500000</f>
        <v>500000</v>
      </c>
      <c r="F15" s="71">
        <f t="shared" si="0"/>
        <v>500000</v>
      </c>
      <c r="G15" s="32"/>
    </row>
    <row r="16" spans="1:8" ht="41.45" customHeight="1" thickBot="1" x14ac:dyDescent="0.35">
      <c r="A16" s="11"/>
      <c r="B16" s="64"/>
      <c r="C16" s="37" t="s">
        <v>75</v>
      </c>
      <c r="D16" s="51">
        <f>6774789180+252693360</f>
        <v>7027482540</v>
      </c>
      <c r="E16" s="43">
        <f>E10</f>
        <v>500000</v>
      </c>
      <c r="F16" s="51">
        <f>D16+E16</f>
        <v>7027982540</v>
      </c>
      <c r="G16" s="32"/>
    </row>
    <row r="17" spans="1:8" ht="40.5" customHeight="1" thickBot="1" x14ac:dyDescent="0.35">
      <c r="A17" s="11"/>
      <c r="B17" s="64"/>
      <c r="C17" s="37" t="s">
        <v>8</v>
      </c>
      <c r="D17" s="51">
        <f>6233621540+704660+252693360</f>
        <v>6487019560</v>
      </c>
      <c r="E17" s="43">
        <f>E18+E23+E28+E32+E43+E46+E56+E64+E61+E52</f>
        <v>83911025.019999996</v>
      </c>
      <c r="F17" s="51">
        <f t="shared" ref="F17:F19" si="1">D17+E17</f>
        <v>6570930585.0200005</v>
      </c>
      <c r="G17" s="56"/>
      <c r="H17" s="2"/>
    </row>
    <row r="18" spans="1:8" ht="36.75" customHeight="1" x14ac:dyDescent="0.2">
      <c r="A18" s="77" t="s">
        <v>37</v>
      </c>
      <c r="B18" s="50"/>
      <c r="C18" s="50" t="s">
        <v>13</v>
      </c>
      <c r="D18" s="30">
        <v>176221859</v>
      </c>
      <c r="E18" s="30">
        <f>E19</f>
        <v>5207263</v>
      </c>
      <c r="F18" s="30">
        <f t="shared" si="1"/>
        <v>181429122</v>
      </c>
      <c r="G18" s="56"/>
      <c r="H18" s="2"/>
    </row>
    <row r="19" spans="1:8" ht="40.5" customHeight="1" x14ac:dyDescent="0.2">
      <c r="A19" s="77" t="s">
        <v>38</v>
      </c>
      <c r="B19" s="50"/>
      <c r="C19" s="50" t="s">
        <v>13</v>
      </c>
      <c r="D19" s="30">
        <f>172981812</f>
        <v>172981812</v>
      </c>
      <c r="E19" s="30">
        <f>SUM(E20:E22)</f>
        <v>5207263</v>
      </c>
      <c r="F19" s="30">
        <f t="shared" si="1"/>
        <v>178189075</v>
      </c>
      <c r="G19" s="7"/>
      <c r="H19" s="2"/>
    </row>
    <row r="20" spans="1:8" ht="80.45" customHeight="1" x14ac:dyDescent="0.2">
      <c r="A20" s="69" t="s">
        <v>40</v>
      </c>
      <c r="B20" s="69" t="s">
        <v>41</v>
      </c>
      <c r="C20" s="85" t="s">
        <v>39</v>
      </c>
      <c r="D20" s="45">
        <v>169480803</v>
      </c>
      <c r="E20" s="45">
        <f>826280</f>
        <v>826280</v>
      </c>
      <c r="F20" s="45">
        <f>D20+E20</f>
        <v>170307083</v>
      </c>
      <c r="G20" s="56"/>
      <c r="H20" s="2"/>
    </row>
    <row r="21" spans="1:8" ht="35.450000000000003" customHeight="1" x14ac:dyDescent="0.2">
      <c r="A21" s="78" t="s">
        <v>181</v>
      </c>
      <c r="B21" s="74" t="s">
        <v>182</v>
      </c>
      <c r="C21" s="101" t="s">
        <v>180</v>
      </c>
      <c r="D21" s="59">
        <v>1945914</v>
      </c>
      <c r="E21" s="59">
        <f>-1495017</f>
        <v>-1495017</v>
      </c>
      <c r="F21" s="45">
        <f>D21+E21</f>
        <v>450897</v>
      </c>
      <c r="G21" s="56"/>
      <c r="H21" s="2"/>
    </row>
    <row r="22" spans="1:8" ht="74.45" customHeight="1" x14ac:dyDescent="0.2">
      <c r="A22" s="78" t="s">
        <v>155</v>
      </c>
      <c r="B22" s="74" t="s">
        <v>154</v>
      </c>
      <c r="C22" s="101" t="s">
        <v>153</v>
      </c>
      <c r="D22" s="59">
        <v>0</v>
      </c>
      <c r="E22" s="59">
        <f>5500000+376000</f>
        <v>5876000</v>
      </c>
      <c r="F22" s="45">
        <f>D22+E22</f>
        <v>5876000</v>
      </c>
      <c r="G22" s="56"/>
      <c r="H22" s="2"/>
    </row>
    <row r="23" spans="1:8" ht="40.5" customHeight="1" x14ac:dyDescent="0.2">
      <c r="A23" s="77" t="s">
        <v>63</v>
      </c>
      <c r="B23" s="50"/>
      <c r="C23" s="50" t="s">
        <v>18</v>
      </c>
      <c r="D23" s="30">
        <f>D24</f>
        <v>793977803</v>
      </c>
      <c r="E23" s="30">
        <f>E24</f>
        <v>577115.02</v>
      </c>
      <c r="F23" s="30">
        <f t="shared" ref="F23:F88" si="2">D23+E23</f>
        <v>794554918.01999998</v>
      </c>
      <c r="G23" s="56"/>
      <c r="H23" s="2"/>
    </row>
    <row r="24" spans="1:8" ht="40.5" customHeight="1" x14ac:dyDescent="0.2">
      <c r="A24" s="77" t="s">
        <v>64</v>
      </c>
      <c r="B24" s="50"/>
      <c r="C24" s="50" t="s">
        <v>18</v>
      </c>
      <c r="D24" s="30">
        <f>779561743+14416060</f>
        <v>793977803</v>
      </c>
      <c r="E24" s="30">
        <f>E25+E26</f>
        <v>577115.02</v>
      </c>
      <c r="F24" s="30">
        <f t="shared" si="2"/>
        <v>794554918.01999998</v>
      </c>
      <c r="G24" s="7"/>
      <c r="H24" s="2"/>
    </row>
    <row r="25" spans="1:8" ht="40.5" customHeight="1" x14ac:dyDescent="0.2">
      <c r="A25" s="69" t="s">
        <v>76</v>
      </c>
      <c r="B25" s="69" t="s">
        <v>20</v>
      </c>
      <c r="C25" s="85" t="s">
        <v>19</v>
      </c>
      <c r="D25" s="45">
        <v>506026184</v>
      </c>
      <c r="E25" s="45">
        <f>500000+50000</f>
        <v>550000</v>
      </c>
      <c r="F25" s="45">
        <f t="shared" si="2"/>
        <v>506576184</v>
      </c>
      <c r="G25" s="100"/>
      <c r="H25" s="2"/>
    </row>
    <row r="26" spans="1:8" ht="40.5" customHeight="1" x14ac:dyDescent="0.2">
      <c r="A26" s="69" t="s">
        <v>77</v>
      </c>
      <c r="B26" s="69">
        <v>2110</v>
      </c>
      <c r="C26" s="85" t="s">
        <v>79</v>
      </c>
      <c r="D26" s="45">
        <f>D27</f>
        <v>152302927</v>
      </c>
      <c r="E26" s="45">
        <f>E27</f>
        <v>27115.02</v>
      </c>
      <c r="F26" s="45">
        <f t="shared" si="2"/>
        <v>152330042.02000001</v>
      </c>
      <c r="G26" s="7"/>
      <c r="H26" s="2"/>
    </row>
    <row r="27" spans="1:8" ht="75.599999999999994" customHeight="1" x14ac:dyDescent="0.2">
      <c r="A27" s="73" t="s">
        <v>78</v>
      </c>
      <c r="B27" s="73">
        <v>2111</v>
      </c>
      <c r="C27" s="98" t="s">
        <v>80</v>
      </c>
      <c r="D27" s="57">
        <f>152302927</f>
        <v>152302927</v>
      </c>
      <c r="E27" s="57">
        <f>27115.02</f>
        <v>27115.02</v>
      </c>
      <c r="F27" s="57">
        <f t="shared" si="2"/>
        <v>152330042.02000001</v>
      </c>
      <c r="G27" s="56"/>
      <c r="H27" s="2"/>
    </row>
    <row r="28" spans="1:8" ht="37.5" customHeight="1" x14ac:dyDescent="0.2">
      <c r="A28" s="79">
        <v>1000000</v>
      </c>
      <c r="B28" s="50"/>
      <c r="C28" s="50" t="s">
        <v>23</v>
      </c>
      <c r="D28" s="30">
        <f>D29</f>
        <v>189539283</v>
      </c>
      <c r="E28" s="30">
        <f>E29</f>
        <v>5500000</v>
      </c>
      <c r="F28" s="30">
        <f t="shared" si="2"/>
        <v>195039283</v>
      </c>
      <c r="G28" s="7"/>
      <c r="H28" s="7"/>
    </row>
    <row r="29" spans="1:8" ht="40.5" customHeight="1" x14ac:dyDescent="0.2">
      <c r="A29" s="79">
        <v>1010000</v>
      </c>
      <c r="B29" s="50"/>
      <c r="C29" s="50" t="s">
        <v>23</v>
      </c>
      <c r="D29" s="30">
        <f>189539283</f>
        <v>189539283</v>
      </c>
      <c r="E29" s="30">
        <f>E30</f>
        <v>5500000</v>
      </c>
      <c r="F29" s="30">
        <f t="shared" si="2"/>
        <v>195039283</v>
      </c>
      <c r="G29" s="7"/>
      <c r="H29" s="7"/>
    </row>
    <row r="30" spans="1:8" ht="37.15" customHeight="1" x14ac:dyDescent="0.2">
      <c r="A30" s="69">
        <v>1014080</v>
      </c>
      <c r="B30" s="69">
        <v>4080</v>
      </c>
      <c r="C30" s="85" t="s">
        <v>82</v>
      </c>
      <c r="D30" s="45">
        <f>D31</f>
        <v>1243800</v>
      </c>
      <c r="E30" s="45">
        <f>E31</f>
        <v>5500000</v>
      </c>
      <c r="F30" s="45">
        <f t="shared" si="2"/>
        <v>6743800</v>
      </c>
      <c r="G30" s="7"/>
      <c r="H30" s="7"/>
    </row>
    <row r="31" spans="1:8" ht="36.6" customHeight="1" x14ac:dyDescent="0.2">
      <c r="A31" s="73" t="s">
        <v>83</v>
      </c>
      <c r="B31" s="73" t="s">
        <v>84</v>
      </c>
      <c r="C31" s="98" t="s">
        <v>85</v>
      </c>
      <c r="D31" s="57">
        <f>1243800</f>
        <v>1243800</v>
      </c>
      <c r="E31" s="57">
        <f>5500000</f>
        <v>5500000</v>
      </c>
      <c r="F31" s="57">
        <f>D31+E31</f>
        <v>6743800</v>
      </c>
      <c r="G31" s="7"/>
      <c r="H31" s="7"/>
    </row>
    <row r="32" spans="1:8" ht="55.5" customHeight="1" x14ac:dyDescent="0.2">
      <c r="A32" s="79">
        <v>1200000</v>
      </c>
      <c r="B32" s="50"/>
      <c r="C32" s="50" t="s">
        <v>7</v>
      </c>
      <c r="D32" s="30">
        <f>D33</f>
        <v>573164241</v>
      </c>
      <c r="E32" s="30">
        <f>E33</f>
        <v>-134780300</v>
      </c>
      <c r="F32" s="30">
        <f t="shared" si="2"/>
        <v>438383941</v>
      </c>
      <c r="G32" s="56"/>
      <c r="H32" s="2"/>
    </row>
    <row r="33" spans="1:9" ht="55.5" customHeight="1" x14ac:dyDescent="0.2">
      <c r="A33" s="79">
        <v>1210000</v>
      </c>
      <c r="B33" s="50"/>
      <c r="C33" s="50" t="s">
        <v>7</v>
      </c>
      <c r="D33" s="30">
        <v>573164241</v>
      </c>
      <c r="E33" s="30">
        <f>E34+E35+E37+E39+E41</f>
        <v>-134780300</v>
      </c>
      <c r="F33" s="30">
        <f t="shared" si="2"/>
        <v>438383941</v>
      </c>
      <c r="G33" s="7"/>
      <c r="H33" s="2"/>
      <c r="I33" s="82"/>
    </row>
    <row r="34" spans="1:9" ht="39" customHeight="1" x14ac:dyDescent="0.2">
      <c r="A34" s="69">
        <v>1216030</v>
      </c>
      <c r="B34" s="69">
        <v>6030</v>
      </c>
      <c r="C34" s="85" t="s">
        <v>105</v>
      </c>
      <c r="D34" s="45">
        <v>106265276</v>
      </c>
      <c r="E34" s="45">
        <f>190000+20000+344766</f>
        <v>554766</v>
      </c>
      <c r="F34" s="45">
        <f>D34+E34</f>
        <v>106820042</v>
      </c>
      <c r="G34" s="7"/>
      <c r="H34" s="2"/>
    </row>
    <row r="35" spans="1:9" ht="27" customHeight="1" x14ac:dyDescent="0.2">
      <c r="A35" s="69">
        <v>1217690</v>
      </c>
      <c r="B35" s="69">
        <v>7690</v>
      </c>
      <c r="C35" s="85" t="s">
        <v>106</v>
      </c>
      <c r="D35" s="45">
        <v>16307391</v>
      </c>
      <c r="E35" s="45">
        <f>E36</f>
        <v>3616700</v>
      </c>
      <c r="F35" s="45">
        <f t="shared" si="2"/>
        <v>19924091</v>
      </c>
      <c r="G35" s="56"/>
      <c r="H35" s="2"/>
    </row>
    <row r="36" spans="1:9" ht="36" customHeight="1" x14ac:dyDescent="0.2">
      <c r="A36" s="73" t="s">
        <v>107</v>
      </c>
      <c r="B36" s="73" t="s">
        <v>108</v>
      </c>
      <c r="C36" s="98" t="s">
        <v>24</v>
      </c>
      <c r="D36" s="57">
        <v>16307391</v>
      </c>
      <c r="E36" s="57">
        <f>3616700</f>
        <v>3616700</v>
      </c>
      <c r="F36" s="57">
        <f t="shared" si="2"/>
        <v>19924091</v>
      </c>
      <c r="G36" s="56"/>
      <c r="H36" s="2"/>
    </row>
    <row r="37" spans="1:9" ht="36" customHeight="1" x14ac:dyDescent="0.2">
      <c r="A37" s="69">
        <v>1217410</v>
      </c>
      <c r="B37" s="69">
        <v>7410</v>
      </c>
      <c r="C37" s="85" t="s">
        <v>168</v>
      </c>
      <c r="D37" s="45">
        <f>D38</f>
        <v>4992500</v>
      </c>
      <c r="E37" s="45">
        <f>E38</f>
        <v>-4843300</v>
      </c>
      <c r="F37" s="45">
        <f t="shared" ref="F37:F38" si="3">D37+E37</f>
        <v>149200</v>
      </c>
      <c r="G37" s="56"/>
      <c r="H37" s="2"/>
    </row>
    <row r="38" spans="1:9" ht="26.45" customHeight="1" x14ac:dyDescent="0.2">
      <c r="A38" s="73">
        <v>1217413</v>
      </c>
      <c r="B38" s="73">
        <v>7413</v>
      </c>
      <c r="C38" s="98" t="s">
        <v>169</v>
      </c>
      <c r="D38" s="57">
        <v>4992500</v>
      </c>
      <c r="E38" s="57">
        <f>-4843300</f>
        <v>-4843300</v>
      </c>
      <c r="F38" s="57">
        <f t="shared" si="3"/>
        <v>149200</v>
      </c>
      <c r="G38" s="56"/>
      <c r="H38" s="2"/>
    </row>
    <row r="39" spans="1:9" ht="36" customHeight="1" x14ac:dyDescent="0.2">
      <c r="A39" s="69">
        <v>1217420</v>
      </c>
      <c r="B39" s="69">
        <v>7420</v>
      </c>
      <c r="C39" s="85" t="s">
        <v>158</v>
      </c>
      <c r="D39" s="45">
        <f>D40</f>
        <v>212961200</v>
      </c>
      <c r="E39" s="45">
        <f>E40</f>
        <v>-193763700</v>
      </c>
      <c r="F39" s="45">
        <f t="shared" si="2"/>
        <v>19197500</v>
      </c>
      <c r="G39" s="56"/>
      <c r="H39" s="2"/>
    </row>
    <row r="40" spans="1:9" ht="36" customHeight="1" x14ac:dyDescent="0.2">
      <c r="A40" s="73">
        <v>1217426</v>
      </c>
      <c r="B40" s="73">
        <v>7426</v>
      </c>
      <c r="C40" s="98" t="s">
        <v>159</v>
      </c>
      <c r="D40" s="57">
        <v>212961200</v>
      </c>
      <c r="E40" s="57">
        <v>-193763700</v>
      </c>
      <c r="F40" s="57">
        <f t="shared" si="2"/>
        <v>19197500</v>
      </c>
      <c r="G40" s="56"/>
      <c r="H40" s="2"/>
    </row>
    <row r="41" spans="1:9" ht="36" customHeight="1" x14ac:dyDescent="0.2">
      <c r="A41" s="69">
        <v>1217460</v>
      </c>
      <c r="B41" s="69">
        <v>7460</v>
      </c>
      <c r="C41" s="85" t="s">
        <v>156</v>
      </c>
      <c r="D41" s="45">
        <f>D42</f>
        <v>178401200</v>
      </c>
      <c r="E41" s="45">
        <f>E42</f>
        <v>59655234</v>
      </c>
      <c r="F41" s="45">
        <f t="shared" ref="F41:F42" si="4">D41+E41</f>
        <v>238056434</v>
      </c>
      <c r="G41" s="56"/>
      <c r="H41" s="2"/>
    </row>
    <row r="42" spans="1:9" ht="71.45" customHeight="1" x14ac:dyDescent="0.2">
      <c r="A42" s="73">
        <v>1217461</v>
      </c>
      <c r="B42" s="73">
        <v>7461</v>
      </c>
      <c r="C42" s="98" t="s">
        <v>157</v>
      </c>
      <c r="D42" s="57">
        <v>178401200</v>
      </c>
      <c r="E42" s="57">
        <f>60000000-344766</f>
        <v>59655234</v>
      </c>
      <c r="F42" s="57">
        <f t="shared" si="4"/>
        <v>238056434</v>
      </c>
      <c r="G42" s="56"/>
      <c r="H42" s="2"/>
    </row>
    <row r="43" spans="1:9" ht="63" customHeight="1" x14ac:dyDescent="0.2">
      <c r="A43" s="79">
        <v>1600000</v>
      </c>
      <c r="B43" s="27"/>
      <c r="C43" s="50" t="s">
        <v>16</v>
      </c>
      <c r="D43" s="30">
        <f>D44</f>
        <v>700000</v>
      </c>
      <c r="E43" s="30">
        <f>E44</f>
        <v>600260</v>
      </c>
      <c r="F43" s="30">
        <f t="shared" si="2"/>
        <v>1300260</v>
      </c>
      <c r="G43" s="56"/>
      <c r="H43" s="2"/>
    </row>
    <row r="44" spans="1:9" ht="60" customHeight="1" x14ac:dyDescent="0.2">
      <c r="A44" s="79">
        <v>1610000</v>
      </c>
      <c r="B44" s="50"/>
      <c r="C44" s="50" t="s">
        <v>16</v>
      </c>
      <c r="D44" s="30">
        <v>700000</v>
      </c>
      <c r="E44" s="30">
        <f>E45</f>
        <v>600260</v>
      </c>
      <c r="F44" s="30">
        <f t="shared" si="2"/>
        <v>1300260</v>
      </c>
      <c r="G44" s="56"/>
      <c r="H44" s="2"/>
    </row>
    <row r="45" spans="1:9" ht="28.15" customHeight="1" x14ac:dyDescent="0.2">
      <c r="A45" s="69" t="s">
        <v>118</v>
      </c>
      <c r="B45" s="69" t="s">
        <v>119</v>
      </c>
      <c r="C45" s="85" t="s">
        <v>117</v>
      </c>
      <c r="D45" s="45">
        <v>0</v>
      </c>
      <c r="E45" s="45">
        <f>600260</f>
        <v>600260</v>
      </c>
      <c r="F45" s="45">
        <f t="shared" si="2"/>
        <v>600260</v>
      </c>
      <c r="G45" s="56"/>
      <c r="H45" s="2"/>
    </row>
    <row r="46" spans="1:9" ht="46.9" customHeight="1" x14ac:dyDescent="0.2">
      <c r="A46" s="79">
        <v>1900000</v>
      </c>
      <c r="B46" s="27"/>
      <c r="C46" s="50" t="s">
        <v>26</v>
      </c>
      <c r="D46" s="30">
        <f>D47</f>
        <v>7750000</v>
      </c>
      <c r="E46" s="30">
        <f>E47</f>
        <v>202683000</v>
      </c>
      <c r="F46" s="30">
        <f t="shared" si="2"/>
        <v>210433000</v>
      </c>
      <c r="G46" s="56"/>
      <c r="H46" s="2"/>
    </row>
    <row r="47" spans="1:9" ht="40.9" customHeight="1" x14ac:dyDescent="0.2">
      <c r="A47" s="79">
        <v>1910000</v>
      </c>
      <c r="B47" s="50"/>
      <c r="C47" s="50" t="s">
        <v>26</v>
      </c>
      <c r="D47" s="30">
        <v>7750000</v>
      </c>
      <c r="E47" s="30">
        <f>E48+E50</f>
        <v>202683000</v>
      </c>
      <c r="F47" s="30">
        <f t="shared" si="2"/>
        <v>210433000</v>
      </c>
      <c r="G47" s="56"/>
      <c r="H47" s="2"/>
    </row>
    <row r="48" spans="1:9" ht="54" customHeight="1" x14ac:dyDescent="0.2">
      <c r="A48" s="69" t="s">
        <v>163</v>
      </c>
      <c r="B48" s="69">
        <v>7420</v>
      </c>
      <c r="C48" s="85" t="s">
        <v>161</v>
      </c>
      <c r="D48" s="45">
        <f>D49</f>
        <v>0</v>
      </c>
      <c r="E48" s="45">
        <f>E49</f>
        <v>197839700</v>
      </c>
      <c r="F48" s="45">
        <f t="shared" ref="F48:F53" si="5">D48+E48</f>
        <v>197839700</v>
      </c>
      <c r="G48" s="56"/>
      <c r="H48" s="2"/>
    </row>
    <row r="49" spans="1:8" ht="37.9" customHeight="1" x14ac:dyDescent="0.2">
      <c r="A49" s="73" t="s">
        <v>164</v>
      </c>
      <c r="B49" s="73">
        <v>7426</v>
      </c>
      <c r="C49" s="98" t="s">
        <v>167</v>
      </c>
      <c r="D49" s="57">
        <v>0</v>
      </c>
      <c r="E49" s="57">
        <f>197839700</f>
        <v>197839700</v>
      </c>
      <c r="F49" s="57">
        <f t="shared" si="5"/>
        <v>197839700</v>
      </c>
      <c r="G49" s="56"/>
      <c r="H49" s="2"/>
    </row>
    <row r="50" spans="1:8" ht="54.6" customHeight="1" x14ac:dyDescent="0.2">
      <c r="A50" s="69" t="s">
        <v>172</v>
      </c>
      <c r="B50" s="69">
        <v>7410</v>
      </c>
      <c r="C50" s="85" t="s">
        <v>168</v>
      </c>
      <c r="D50" s="45">
        <f>D51</f>
        <v>0</v>
      </c>
      <c r="E50" s="45">
        <f>E51</f>
        <v>4843300</v>
      </c>
      <c r="F50" s="45">
        <f t="shared" si="5"/>
        <v>4843300</v>
      </c>
      <c r="G50" s="56"/>
      <c r="H50" s="2"/>
    </row>
    <row r="51" spans="1:8" ht="28.15" customHeight="1" x14ac:dyDescent="0.2">
      <c r="A51" s="73" t="s">
        <v>173</v>
      </c>
      <c r="B51" s="73">
        <v>7413</v>
      </c>
      <c r="C51" s="98" t="s">
        <v>169</v>
      </c>
      <c r="D51" s="57">
        <v>0</v>
      </c>
      <c r="E51" s="57">
        <f>4843300</f>
        <v>4843300</v>
      </c>
      <c r="F51" s="57">
        <f t="shared" si="5"/>
        <v>4843300</v>
      </c>
      <c r="G51" s="56"/>
      <c r="H51" s="2"/>
    </row>
    <row r="52" spans="1:8" ht="38.450000000000003" customHeight="1" x14ac:dyDescent="0.2">
      <c r="A52" s="79">
        <v>2700000</v>
      </c>
      <c r="B52" s="27"/>
      <c r="C52" s="50" t="s">
        <v>186</v>
      </c>
      <c r="D52" s="30">
        <f>D53</f>
        <v>3969116</v>
      </c>
      <c r="E52" s="30">
        <f>E53</f>
        <v>298000</v>
      </c>
      <c r="F52" s="30">
        <f t="shared" si="5"/>
        <v>4267116</v>
      </c>
      <c r="G52" s="56"/>
      <c r="H52" s="2"/>
    </row>
    <row r="53" spans="1:8" ht="42.6" customHeight="1" x14ac:dyDescent="0.2">
      <c r="A53" s="79">
        <v>2710000</v>
      </c>
      <c r="B53" s="50"/>
      <c r="C53" s="50" t="s">
        <v>186</v>
      </c>
      <c r="D53" s="30">
        <v>3969116</v>
      </c>
      <c r="E53" s="30">
        <f>E54</f>
        <v>298000</v>
      </c>
      <c r="F53" s="30">
        <f t="shared" si="5"/>
        <v>4267116</v>
      </c>
      <c r="G53" s="56"/>
      <c r="H53" s="2"/>
    </row>
    <row r="54" spans="1:8" ht="28.15" customHeight="1" x14ac:dyDescent="0.2">
      <c r="A54" s="69">
        <v>2717690</v>
      </c>
      <c r="B54" s="69">
        <v>7690</v>
      </c>
      <c r="C54" s="85" t="s">
        <v>106</v>
      </c>
      <c r="D54" s="45">
        <v>2704150</v>
      </c>
      <c r="E54" s="45">
        <f>E55</f>
        <v>298000</v>
      </c>
      <c r="F54" s="45">
        <f>D54+E54</f>
        <v>3002150</v>
      </c>
      <c r="G54" s="56"/>
      <c r="H54" s="2"/>
    </row>
    <row r="55" spans="1:8" ht="37.15" customHeight="1" x14ac:dyDescent="0.2">
      <c r="A55" s="73">
        <v>2717693</v>
      </c>
      <c r="B55" s="73">
        <v>7693</v>
      </c>
      <c r="C55" s="98" t="s">
        <v>24</v>
      </c>
      <c r="D55" s="57">
        <v>2704150</v>
      </c>
      <c r="E55" s="57">
        <f>298000</f>
        <v>298000</v>
      </c>
      <c r="F55" s="57">
        <f>D55+E55</f>
        <v>3002150</v>
      </c>
      <c r="G55" s="56"/>
      <c r="H55" s="2"/>
    </row>
    <row r="56" spans="1:8" ht="76.150000000000006" customHeight="1" x14ac:dyDescent="0.2">
      <c r="A56" s="79">
        <v>2900000</v>
      </c>
      <c r="B56" s="27"/>
      <c r="C56" s="50" t="s">
        <v>81</v>
      </c>
      <c r="D56" s="30">
        <f>D57</f>
        <v>3675312</v>
      </c>
      <c r="E56" s="30">
        <f>E57</f>
        <v>1000000</v>
      </c>
      <c r="F56" s="30">
        <f t="shared" si="2"/>
        <v>4675312</v>
      </c>
      <c r="G56" s="56"/>
      <c r="H56" s="2"/>
    </row>
    <row r="57" spans="1:8" ht="71.45" customHeight="1" x14ac:dyDescent="0.2">
      <c r="A57" s="79">
        <v>2910000</v>
      </c>
      <c r="B57" s="50"/>
      <c r="C57" s="50" t="s">
        <v>81</v>
      </c>
      <c r="D57" s="30">
        <f>3675312</f>
        <v>3675312</v>
      </c>
      <c r="E57" s="30">
        <f>E58+E60</f>
        <v>1000000</v>
      </c>
      <c r="F57" s="30">
        <f t="shared" si="2"/>
        <v>4675312</v>
      </c>
      <c r="G57" s="56"/>
      <c r="H57" s="2"/>
    </row>
    <row r="58" spans="1:8" ht="72" customHeight="1" x14ac:dyDescent="0.2">
      <c r="A58" s="69">
        <v>2910160</v>
      </c>
      <c r="B58" s="69" t="s">
        <v>41</v>
      </c>
      <c r="C58" s="85" t="s">
        <v>39</v>
      </c>
      <c r="D58" s="45">
        <v>471800</v>
      </c>
      <c r="E58" s="45">
        <v>0</v>
      </c>
      <c r="F58" s="45">
        <f>D58+E58</f>
        <v>471800</v>
      </c>
      <c r="G58" s="56"/>
      <c r="H58" s="2"/>
    </row>
    <row r="59" spans="1:8" ht="39.6" customHeight="1" x14ac:dyDescent="0.2">
      <c r="A59" s="73"/>
      <c r="B59" s="73"/>
      <c r="C59" s="48" t="s">
        <v>185</v>
      </c>
      <c r="D59" s="105">
        <v>138466</v>
      </c>
      <c r="E59" s="105">
        <f>-6800</f>
        <v>-6800</v>
      </c>
      <c r="F59" s="105">
        <f>D59+E59</f>
        <v>131666</v>
      </c>
      <c r="G59" s="56"/>
      <c r="H59" s="2"/>
    </row>
    <row r="60" spans="1:8" ht="57.6" customHeight="1" x14ac:dyDescent="0.2">
      <c r="A60" s="69">
        <v>2918110</v>
      </c>
      <c r="B60" s="69">
        <v>8110</v>
      </c>
      <c r="C60" s="85" t="s">
        <v>147</v>
      </c>
      <c r="D60" s="45">
        <v>326000</v>
      </c>
      <c r="E60" s="45">
        <f>1000000</f>
        <v>1000000</v>
      </c>
      <c r="F60" s="45">
        <f>D60+E60</f>
        <v>1326000</v>
      </c>
      <c r="G60" s="56"/>
      <c r="H60" s="2"/>
    </row>
    <row r="61" spans="1:8" ht="52.9" customHeight="1" x14ac:dyDescent="0.2">
      <c r="A61" s="79">
        <v>3400000</v>
      </c>
      <c r="B61" s="27"/>
      <c r="C61" s="50" t="s">
        <v>183</v>
      </c>
      <c r="D61" s="30">
        <f>D62</f>
        <v>0</v>
      </c>
      <c r="E61" s="30">
        <f>E62</f>
        <v>1495017</v>
      </c>
      <c r="F61" s="30">
        <f t="shared" ref="F61:F62" si="6">D61+E61</f>
        <v>1495017</v>
      </c>
      <c r="G61" s="56"/>
      <c r="H61" s="2"/>
    </row>
    <row r="62" spans="1:8" ht="55.9" customHeight="1" x14ac:dyDescent="0.2">
      <c r="A62" s="79">
        <v>3410000</v>
      </c>
      <c r="B62" s="50"/>
      <c r="C62" s="50" t="s">
        <v>183</v>
      </c>
      <c r="D62" s="30">
        <v>0</v>
      </c>
      <c r="E62" s="30">
        <f>E63</f>
        <v>1495017</v>
      </c>
      <c r="F62" s="30">
        <f t="shared" si="6"/>
        <v>1495017</v>
      </c>
      <c r="G62" s="56"/>
      <c r="H62" s="2"/>
    </row>
    <row r="63" spans="1:8" ht="39" customHeight="1" x14ac:dyDescent="0.2">
      <c r="A63" s="78" t="s">
        <v>184</v>
      </c>
      <c r="B63" s="74" t="s">
        <v>182</v>
      </c>
      <c r="C63" s="101" t="s">
        <v>180</v>
      </c>
      <c r="D63" s="59">
        <v>0</v>
      </c>
      <c r="E63" s="59">
        <f>1495017</f>
        <v>1495017</v>
      </c>
      <c r="F63" s="45">
        <f>D63+E63</f>
        <v>1495017</v>
      </c>
      <c r="G63" s="56"/>
      <c r="H63" s="2"/>
    </row>
    <row r="64" spans="1:8" ht="39" customHeight="1" x14ac:dyDescent="0.2">
      <c r="A64" s="79">
        <v>3700000</v>
      </c>
      <c r="B64" s="27"/>
      <c r="C64" s="50" t="s">
        <v>30</v>
      </c>
      <c r="D64" s="30">
        <f>D65</f>
        <v>1223084450</v>
      </c>
      <c r="E64" s="30">
        <f>E65</f>
        <v>1330670</v>
      </c>
      <c r="F64" s="30">
        <f t="shared" ref="F64:F74" si="7">D64+E64</f>
        <v>1224415120</v>
      </c>
      <c r="G64" s="7"/>
      <c r="H64" s="2"/>
    </row>
    <row r="65" spans="1:8" ht="39.75" customHeight="1" x14ac:dyDescent="0.2">
      <c r="A65" s="79">
        <v>3710000</v>
      </c>
      <c r="B65" s="50"/>
      <c r="C65" s="50" t="s">
        <v>30</v>
      </c>
      <c r="D65" s="30">
        <f>1197170850+25913600</f>
        <v>1223084450</v>
      </c>
      <c r="E65" s="30">
        <f>E66+E75</f>
        <v>1330670</v>
      </c>
      <c r="F65" s="30">
        <f t="shared" si="7"/>
        <v>1224415120</v>
      </c>
      <c r="G65" s="7"/>
      <c r="H65" s="2"/>
    </row>
    <row r="66" spans="1:8" ht="26.25" customHeight="1" x14ac:dyDescent="0.2">
      <c r="A66" s="69">
        <v>3719150</v>
      </c>
      <c r="B66" s="69">
        <v>9150</v>
      </c>
      <c r="C66" s="85" t="s">
        <v>95</v>
      </c>
      <c r="D66" s="45">
        <f>SUM(D68:D74)</f>
        <v>206113200</v>
      </c>
      <c r="E66" s="45">
        <f>SUM(E68:E74)</f>
        <v>869670</v>
      </c>
      <c r="F66" s="45">
        <f t="shared" si="7"/>
        <v>206982870</v>
      </c>
      <c r="G66" s="7"/>
      <c r="H66" s="2"/>
    </row>
    <row r="67" spans="1:8" ht="36" customHeight="1" x14ac:dyDescent="0.2">
      <c r="A67" s="69"/>
      <c r="B67" s="83"/>
      <c r="C67" s="75" t="s">
        <v>32</v>
      </c>
      <c r="D67" s="45"/>
      <c r="E67" s="45"/>
      <c r="F67" s="45"/>
      <c r="G67" s="7"/>
      <c r="H67" s="2"/>
    </row>
    <row r="68" spans="1:8" ht="24" customHeight="1" x14ac:dyDescent="0.2">
      <c r="A68" s="69"/>
      <c r="B68" s="83"/>
      <c r="C68" s="98" t="s">
        <v>96</v>
      </c>
      <c r="D68" s="57">
        <f>26128100</f>
        <v>26128100</v>
      </c>
      <c r="E68" s="57">
        <f>2000+3500+360190</f>
        <v>365690</v>
      </c>
      <c r="F68" s="57">
        <f t="shared" ref="F68" si="8">D68+E68</f>
        <v>26493790</v>
      </c>
      <c r="G68" s="7"/>
      <c r="H68" s="2"/>
    </row>
    <row r="69" spans="1:8" ht="27" customHeight="1" x14ac:dyDescent="0.2">
      <c r="A69" s="69"/>
      <c r="B69" s="83"/>
      <c r="C69" s="98" t="s">
        <v>33</v>
      </c>
      <c r="D69" s="57">
        <f>26280700</f>
        <v>26280700</v>
      </c>
      <c r="E69" s="57">
        <f>1500+3500</f>
        <v>5000</v>
      </c>
      <c r="F69" s="57">
        <f t="shared" ref="F69:F72" si="9">D69+E69</f>
        <v>26285700</v>
      </c>
      <c r="G69" s="7"/>
      <c r="H69" s="2"/>
    </row>
    <row r="70" spans="1:8" ht="25.9" customHeight="1" x14ac:dyDescent="0.2">
      <c r="A70" s="69"/>
      <c r="B70" s="83"/>
      <c r="C70" s="98" t="s">
        <v>97</v>
      </c>
      <c r="D70" s="57">
        <f>32683000</f>
        <v>32683000</v>
      </c>
      <c r="E70" s="57">
        <f>2000+3500</f>
        <v>5500</v>
      </c>
      <c r="F70" s="57">
        <f t="shared" si="9"/>
        <v>32688500</v>
      </c>
      <c r="G70" s="7"/>
      <c r="H70" s="2"/>
    </row>
    <row r="71" spans="1:8" ht="22.15" customHeight="1" x14ac:dyDescent="0.2">
      <c r="A71" s="69"/>
      <c r="B71" s="83"/>
      <c r="C71" s="98" t="s">
        <v>98</v>
      </c>
      <c r="D71" s="57">
        <f>25894400</f>
        <v>25894400</v>
      </c>
      <c r="E71" s="57">
        <f>7000+4000+466480</f>
        <v>477480</v>
      </c>
      <c r="F71" s="57">
        <f t="shared" si="9"/>
        <v>26371880</v>
      </c>
      <c r="G71" s="7"/>
      <c r="H71" s="2"/>
    </row>
    <row r="72" spans="1:8" ht="28.15" customHeight="1" x14ac:dyDescent="0.2">
      <c r="A72" s="69"/>
      <c r="B72" s="83"/>
      <c r="C72" s="98" t="s">
        <v>99</v>
      </c>
      <c r="D72" s="57">
        <f>39316500</f>
        <v>39316500</v>
      </c>
      <c r="E72" s="57">
        <f>2000+3500</f>
        <v>5500</v>
      </c>
      <c r="F72" s="57">
        <f t="shared" si="9"/>
        <v>39322000</v>
      </c>
      <c r="G72" s="7"/>
      <c r="H72" s="2"/>
    </row>
    <row r="73" spans="1:8" ht="26.25" customHeight="1" x14ac:dyDescent="0.2">
      <c r="A73" s="69"/>
      <c r="B73" s="83"/>
      <c r="C73" s="98" t="s">
        <v>100</v>
      </c>
      <c r="D73" s="57">
        <f>28408100</f>
        <v>28408100</v>
      </c>
      <c r="E73" s="57">
        <f>1500+3500</f>
        <v>5000</v>
      </c>
      <c r="F73" s="57">
        <f t="shared" ref="F73" si="10">D73+E73</f>
        <v>28413100</v>
      </c>
      <c r="G73" s="7"/>
      <c r="H73" s="2"/>
    </row>
    <row r="74" spans="1:8" ht="24.6" customHeight="1" x14ac:dyDescent="0.2">
      <c r="A74" s="69"/>
      <c r="B74" s="68"/>
      <c r="C74" s="98" t="s">
        <v>101</v>
      </c>
      <c r="D74" s="57">
        <f>27402400</f>
        <v>27402400</v>
      </c>
      <c r="E74" s="57">
        <f>2000+3500</f>
        <v>5500</v>
      </c>
      <c r="F74" s="57">
        <f t="shared" si="7"/>
        <v>27407900</v>
      </c>
      <c r="G74" s="7"/>
      <c r="H74" s="2"/>
    </row>
    <row r="75" spans="1:8" ht="96.6" customHeight="1" x14ac:dyDescent="0.2">
      <c r="A75" s="69" t="s">
        <v>102</v>
      </c>
      <c r="B75" s="69" t="s">
        <v>103</v>
      </c>
      <c r="C75" s="85" t="s">
        <v>104</v>
      </c>
      <c r="D75" s="45">
        <f>SUM(D78:D84)</f>
        <v>0</v>
      </c>
      <c r="E75" s="45">
        <f>E76</f>
        <v>461000</v>
      </c>
      <c r="F75" s="45">
        <f t="shared" ref="F75:F76" si="11">D75+E75</f>
        <v>461000</v>
      </c>
      <c r="G75" s="7"/>
      <c r="H75" s="2"/>
    </row>
    <row r="76" spans="1:8" ht="87" customHeight="1" x14ac:dyDescent="0.2">
      <c r="A76" s="58"/>
      <c r="B76" s="58"/>
      <c r="C76" s="86" t="s">
        <v>50</v>
      </c>
      <c r="D76" s="71">
        <v>0</v>
      </c>
      <c r="E76" s="57">
        <f>SUM(E78:E84)</f>
        <v>461000</v>
      </c>
      <c r="F76" s="57">
        <f t="shared" si="11"/>
        <v>461000</v>
      </c>
      <c r="G76" s="7"/>
      <c r="H76" s="2"/>
    </row>
    <row r="77" spans="1:8" ht="37.9" customHeight="1" x14ac:dyDescent="0.2">
      <c r="A77" s="69"/>
      <c r="B77" s="83"/>
      <c r="C77" s="75" t="s">
        <v>32</v>
      </c>
      <c r="D77" s="45"/>
      <c r="E77" s="45"/>
      <c r="F77" s="45"/>
      <c r="G77" s="7"/>
      <c r="H77" s="2"/>
    </row>
    <row r="78" spans="1:8" ht="24.6" customHeight="1" x14ac:dyDescent="0.2">
      <c r="A78" s="69"/>
      <c r="B78" s="83"/>
      <c r="C78" s="98" t="s">
        <v>96</v>
      </c>
      <c r="D78" s="57">
        <v>0</v>
      </c>
      <c r="E78" s="57">
        <v>61000</v>
      </c>
      <c r="F78" s="57">
        <f t="shared" ref="F78:F84" si="12">D78+E78</f>
        <v>61000</v>
      </c>
      <c r="G78" s="7"/>
      <c r="H78" s="2"/>
    </row>
    <row r="79" spans="1:8" ht="24.6" customHeight="1" x14ac:dyDescent="0.2">
      <c r="A79" s="69"/>
      <c r="B79" s="83"/>
      <c r="C79" s="98" t="s">
        <v>33</v>
      </c>
      <c r="D79" s="57">
        <v>0</v>
      </c>
      <c r="E79" s="57">
        <v>47500</v>
      </c>
      <c r="F79" s="57">
        <f t="shared" si="12"/>
        <v>47500</v>
      </c>
      <c r="G79" s="7"/>
      <c r="H79" s="2"/>
    </row>
    <row r="80" spans="1:8" ht="24.6" customHeight="1" x14ac:dyDescent="0.2">
      <c r="A80" s="69"/>
      <c r="B80" s="83"/>
      <c r="C80" s="98" t="s">
        <v>97</v>
      </c>
      <c r="D80" s="57">
        <v>0</v>
      </c>
      <c r="E80" s="57">
        <v>61000</v>
      </c>
      <c r="F80" s="57">
        <f t="shared" si="12"/>
        <v>61000</v>
      </c>
      <c r="G80" s="7"/>
      <c r="H80" s="2"/>
    </row>
    <row r="81" spans="1:8" ht="24.6" customHeight="1" x14ac:dyDescent="0.2">
      <c r="A81" s="69"/>
      <c r="B81" s="83"/>
      <c r="C81" s="98" t="s">
        <v>98</v>
      </c>
      <c r="D81" s="57">
        <v>0</v>
      </c>
      <c r="E81" s="57">
        <v>122000</v>
      </c>
      <c r="F81" s="57">
        <f t="shared" si="12"/>
        <v>122000</v>
      </c>
      <c r="G81" s="7"/>
      <c r="H81" s="2"/>
    </row>
    <row r="82" spans="1:8" ht="24.6" customHeight="1" x14ac:dyDescent="0.2">
      <c r="A82" s="69"/>
      <c r="B82" s="83"/>
      <c r="C82" s="98" t="s">
        <v>99</v>
      </c>
      <c r="D82" s="57">
        <v>0</v>
      </c>
      <c r="E82" s="57">
        <v>61000</v>
      </c>
      <c r="F82" s="57">
        <f t="shared" si="12"/>
        <v>61000</v>
      </c>
      <c r="G82" s="7"/>
      <c r="H82" s="2"/>
    </row>
    <row r="83" spans="1:8" ht="24.6" customHeight="1" x14ac:dyDescent="0.2">
      <c r="A83" s="69"/>
      <c r="B83" s="83"/>
      <c r="C83" s="98" t="s">
        <v>100</v>
      </c>
      <c r="D83" s="57">
        <v>0</v>
      </c>
      <c r="E83" s="57">
        <v>47500</v>
      </c>
      <c r="F83" s="57">
        <f t="shared" si="12"/>
        <v>47500</v>
      </c>
      <c r="G83" s="7"/>
      <c r="H83" s="2"/>
    </row>
    <row r="84" spans="1:8" ht="24.6" customHeight="1" thickBot="1" x14ac:dyDescent="0.25">
      <c r="A84" s="69"/>
      <c r="B84" s="68"/>
      <c r="C84" s="98" t="s">
        <v>101</v>
      </c>
      <c r="D84" s="57">
        <v>0</v>
      </c>
      <c r="E84" s="57">
        <v>61000</v>
      </c>
      <c r="F84" s="57">
        <f t="shared" si="12"/>
        <v>61000</v>
      </c>
      <c r="G84" s="7"/>
      <c r="H84" s="2"/>
    </row>
    <row r="85" spans="1:8" ht="38.25" customHeight="1" x14ac:dyDescent="0.3">
      <c r="A85" s="41"/>
      <c r="B85" s="65"/>
      <c r="C85" s="38" t="s">
        <v>9</v>
      </c>
      <c r="D85" s="52">
        <f>540462980</f>
        <v>540462980</v>
      </c>
      <c r="E85" s="28">
        <f>E87+E96+E117+E125+E131+E138+E164+E183+E193+E204+E213+E218</f>
        <v>133218009.59</v>
      </c>
      <c r="F85" s="28">
        <f t="shared" si="2"/>
        <v>673680989.59000003</v>
      </c>
      <c r="G85" s="7"/>
      <c r="H85" s="2"/>
    </row>
    <row r="86" spans="1:8" ht="20.25" customHeight="1" thickBot="1" x14ac:dyDescent="0.35">
      <c r="A86" s="42"/>
      <c r="B86" s="66"/>
      <c r="C86" s="39" t="s">
        <v>6</v>
      </c>
      <c r="D86" s="29">
        <f>360032117</f>
        <v>360032117</v>
      </c>
      <c r="E86" s="29">
        <f>E89+E98+E119+E127+E133+E140+E166+E185+E195+E206+E220</f>
        <v>83157375.450000003</v>
      </c>
      <c r="F86" s="29">
        <f t="shared" si="2"/>
        <v>443189492.44999999</v>
      </c>
      <c r="G86" s="7"/>
      <c r="H86" s="2"/>
    </row>
    <row r="87" spans="1:8" ht="39" customHeight="1" x14ac:dyDescent="0.2">
      <c r="A87" s="77" t="s">
        <v>37</v>
      </c>
      <c r="B87" s="50"/>
      <c r="C87" s="50" t="s">
        <v>13</v>
      </c>
      <c r="D87" s="30">
        <v>8818897</v>
      </c>
      <c r="E87" s="30">
        <f>E88</f>
        <v>3264000</v>
      </c>
      <c r="F87" s="30">
        <f t="shared" si="2"/>
        <v>12082897</v>
      </c>
      <c r="G87" s="7"/>
      <c r="H87" s="7"/>
    </row>
    <row r="88" spans="1:8" ht="39" customHeight="1" x14ac:dyDescent="0.2">
      <c r="A88" s="77" t="s">
        <v>38</v>
      </c>
      <c r="B88" s="50"/>
      <c r="C88" s="50" t="s">
        <v>13</v>
      </c>
      <c r="D88" s="30">
        <v>8249913</v>
      </c>
      <c r="E88" s="30">
        <f>E90+E92+E94</f>
        <v>3264000</v>
      </c>
      <c r="F88" s="30">
        <f t="shared" si="2"/>
        <v>11513913</v>
      </c>
      <c r="G88" s="7"/>
      <c r="H88" s="7"/>
    </row>
    <row r="89" spans="1:8" ht="23.25" customHeight="1" x14ac:dyDescent="0.2">
      <c r="A89" s="80"/>
      <c r="B89" s="70"/>
      <c r="C89" s="70" t="s">
        <v>6</v>
      </c>
      <c r="D89" s="46">
        <v>8194195</v>
      </c>
      <c r="E89" s="46">
        <f>E91+E93+E95</f>
        <v>3264000</v>
      </c>
      <c r="F89" s="46">
        <f t="shared" ref="F89:F122" si="13">D89+E89</f>
        <v>11458195</v>
      </c>
      <c r="G89" s="7"/>
      <c r="H89" s="7"/>
    </row>
    <row r="90" spans="1:8" ht="75.599999999999994" customHeight="1" x14ac:dyDescent="0.2">
      <c r="A90" s="69" t="s">
        <v>40</v>
      </c>
      <c r="B90" s="69" t="s">
        <v>41</v>
      </c>
      <c r="C90" s="85" t="s">
        <v>39</v>
      </c>
      <c r="D90" s="47">
        <v>8199913</v>
      </c>
      <c r="E90" s="45">
        <f>E91</f>
        <v>3240000</v>
      </c>
      <c r="F90" s="45">
        <f t="shared" si="13"/>
        <v>11439913</v>
      </c>
      <c r="G90" s="7"/>
      <c r="H90" s="7"/>
    </row>
    <row r="91" spans="1:8" ht="23.25" customHeight="1" x14ac:dyDescent="0.2">
      <c r="A91" s="58"/>
      <c r="B91" s="58"/>
      <c r="C91" s="48" t="s">
        <v>6</v>
      </c>
      <c r="D91" s="71">
        <v>8144195</v>
      </c>
      <c r="E91" s="57">
        <f>940000+2300000</f>
        <v>3240000</v>
      </c>
      <c r="F91" s="57">
        <f t="shared" si="13"/>
        <v>11384195</v>
      </c>
      <c r="G91" s="7"/>
      <c r="H91" s="7"/>
    </row>
    <row r="92" spans="1:8" ht="34.9" customHeight="1" x14ac:dyDescent="0.2">
      <c r="A92" s="78" t="s">
        <v>181</v>
      </c>
      <c r="B92" s="74" t="s">
        <v>182</v>
      </c>
      <c r="C92" s="101" t="s">
        <v>180</v>
      </c>
      <c r="D92" s="59">
        <f>D93</f>
        <v>50000</v>
      </c>
      <c r="E92" s="59">
        <f>E93</f>
        <v>-50000</v>
      </c>
      <c r="F92" s="45">
        <f>D92+E92</f>
        <v>0</v>
      </c>
      <c r="G92" s="7"/>
      <c r="H92" s="7"/>
    </row>
    <row r="93" spans="1:8" ht="23.25" customHeight="1" x14ac:dyDescent="0.2">
      <c r="A93" s="58"/>
      <c r="B93" s="58"/>
      <c r="C93" s="48" t="s">
        <v>6</v>
      </c>
      <c r="D93" s="71">
        <v>50000</v>
      </c>
      <c r="E93" s="57">
        <f>-50000</f>
        <v>-50000</v>
      </c>
      <c r="F93" s="57">
        <f t="shared" ref="F93" si="14">D93+E93</f>
        <v>0</v>
      </c>
      <c r="G93" s="7"/>
      <c r="H93" s="7"/>
    </row>
    <row r="94" spans="1:8" ht="75.599999999999994" customHeight="1" x14ac:dyDescent="0.2">
      <c r="A94" s="78" t="s">
        <v>155</v>
      </c>
      <c r="B94" s="74" t="s">
        <v>154</v>
      </c>
      <c r="C94" s="101" t="s">
        <v>153</v>
      </c>
      <c r="D94" s="59">
        <v>0</v>
      </c>
      <c r="E94" s="59">
        <f>E95</f>
        <v>74000</v>
      </c>
      <c r="F94" s="45">
        <f>D94+E94</f>
        <v>74000</v>
      </c>
      <c r="G94" s="7"/>
      <c r="H94" s="7"/>
    </row>
    <row r="95" spans="1:8" ht="23.25" customHeight="1" x14ac:dyDescent="0.2">
      <c r="A95" s="58"/>
      <c r="B95" s="58"/>
      <c r="C95" s="48" t="s">
        <v>6</v>
      </c>
      <c r="D95" s="71">
        <v>0</v>
      </c>
      <c r="E95" s="57">
        <f>74000</f>
        <v>74000</v>
      </c>
      <c r="F95" s="57">
        <f t="shared" ref="F95" si="15">D95+E95</f>
        <v>74000</v>
      </c>
      <c r="G95" s="7"/>
      <c r="H95" s="7"/>
    </row>
    <row r="96" spans="1:8" ht="39" customHeight="1" x14ac:dyDescent="0.2">
      <c r="A96" s="77" t="s">
        <v>42</v>
      </c>
      <c r="B96" s="50"/>
      <c r="C96" s="50" t="s">
        <v>14</v>
      </c>
      <c r="D96" s="30">
        <f>D97</f>
        <v>99908865</v>
      </c>
      <c r="E96" s="30">
        <f>E97</f>
        <v>23537415.18</v>
      </c>
      <c r="F96" s="30">
        <f t="shared" si="13"/>
        <v>123446280.18000001</v>
      </c>
      <c r="G96" s="7"/>
      <c r="H96" s="7"/>
    </row>
    <row r="97" spans="1:9" ht="39.75" customHeight="1" x14ac:dyDescent="0.2">
      <c r="A97" s="77" t="s">
        <v>43</v>
      </c>
      <c r="B97" s="50"/>
      <c r="C97" s="50" t="s">
        <v>14</v>
      </c>
      <c r="D97" s="30">
        <v>99908865</v>
      </c>
      <c r="E97" s="30">
        <f>E100+E103+E106+E110+E113</f>
        <v>23537415.18</v>
      </c>
      <c r="F97" s="30">
        <f t="shared" si="13"/>
        <v>123446280.18000001</v>
      </c>
      <c r="G97" s="7"/>
      <c r="H97" s="7"/>
    </row>
    <row r="98" spans="1:9" ht="23.25" customHeight="1" x14ac:dyDescent="0.2">
      <c r="A98" s="80"/>
      <c r="B98" s="70"/>
      <c r="C98" s="70" t="s">
        <v>6</v>
      </c>
      <c r="D98" s="46">
        <v>18169795</v>
      </c>
      <c r="E98" s="46">
        <f>E101+E104+E108+E115+E112</f>
        <v>23537415.18</v>
      </c>
      <c r="F98" s="46">
        <f t="shared" si="13"/>
        <v>41707210.18</v>
      </c>
      <c r="G98" s="7"/>
      <c r="H98" s="7"/>
    </row>
    <row r="99" spans="1:9" ht="87" customHeight="1" x14ac:dyDescent="0.2">
      <c r="A99" s="87"/>
      <c r="B99" s="70"/>
      <c r="C99" s="88" t="s">
        <v>50</v>
      </c>
      <c r="D99" s="46">
        <v>0</v>
      </c>
      <c r="E99" s="46">
        <f>E102+E105+E109+E116</f>
        <v>7098265.8799999999</v>
      </c>
      <c r="F99" s="46">
        <f>D99+E99</f>
        <v>7098265.8799999999</v>
      </c>
      <c r="G99" s="7"/>
      <c r="H99" s="7"/>
    </row>
    <row r="100" spans="1:9" ht="26.45" customHeight="1" x14ac:dyDescent="0.2">
      <c r="A100" s="69" t="s">
        <v>45</v>
      </c>
      <c r="B100" s="69">
        <v>1010</v>
      </c>
      <c r="C100" s="84" t="s">
        <v>44</v>
      </c>
      <c r="D100" s="47">
        <v>42576233</v>
      </c>
      <c r="E100" s="45">
        <f>E101</f>
        <v>908917</v>
      </c>
      <c r="F100" s="45">
        <f t="shared" si="13"/>
        <v>43485150</v>
      </c>
      <c r="G100" s="7"/>
      <c r="H100" s="7"/>
    </row>
    <row r="101" spans="1:9" ht="23.25" customHeight="1" x14ac:dyDescent="0.2">
      <c r="A101" s="58"/>
      <c r="B101" s="58"/>
      <c r="C101" s="48" t="s">
        <v>6</v>
      </c>
      <c r="D101" s="71">
        <v>880515</v>
      </c>
      <c r="E101" s="57">
        <f>E102+8917</f>
        <v>908917</v>
      </c>
      <c r="F101" s="57">
        <f t="shared" si="13"/>
        <v>1789432</v>
      </c>
      <c r="G101" s="7"/>
      <c r="H101" s="7"/>
    </row>
    <row r="102" spans="1:9" ht="88.15" customHeight="1" x14ac:dyDescent="0.2">
      <c r="A102" s="58"/>
      <c r="B102" s="58"/>
      <c r="C102" s="86" t="s">
        <v>50</v>
      </c>
      <c r="D102" s="71">
        <v>0</v>
      </c>
      <c r="E102" s="57">
        <f>900000</f>
        <v>900000</v>
      </c>
      <c r="F102" s="57">
        <f t="shared" si="13"/>
        <v>900000</v>
      </c>
      <c r="G102" s="7"/>
      <c r="H102" s="7"/>
    </row>
    <row r="103" spans="1:9" ht="112.9" customHeight="1" x14ac:dyDescent="0.2">
      <c r="A103" s="69" t="s">
        <v>46</v>
      </c>
      <c r="B103" s="69">
        <v>1020</v>
      </c>
      <c r="C103" s="84" t="s">
        <v>47</v>
      </c>
      <c r="D103" s="47">
        <v>44933302</v>
      </c>
      <c r="E103" s="45">
        <f>E104</f>
        <v>4791205.67</v>
      </c>
      <c r="F103" s="45">
        <f t="shared" si="13"/>
        <v>49724507.670000002</v>
      </c>
      <c r="G103" s="7"/>
      <c r="H103" s="7"/>
    </row>
    <row r="104" spans="1:9" ht="23.25" customHeight="1" x14ac:dyDescent="0.2">
      <c r="A104" s="58"/>
      <c r="B104" s="58"/>
      <c r="C104" s="48" t="s">
        <v>6</v>
      </c>
      <c r="D104" s="71">
        <v>8886878</v>
      </c>
      <c r="E104" s="57">
        <f>E105+89819+386450</f>
        <v>4791205.67</v>
      </c>
      <c r="F104" s="57">
        <f t="shared" si="13"/>
        <v>13678083.67</v>
      </c>
      <c r="G104" s="7"/>
      <c r="H104" s="7"/>
    </row>
    <row r="105" spans="1:9" ht="87.6" customHeight="1" x14ac:dyDescent="0.2">
      <c r="A105" s="58"/>
      <c r="B105" s="58"/>
      <c r="C105" s="86" t="s">
        <v>50</v>
      </c>
      <c r="D105" s="71">
        <v>0</v>
      </c>
      <c r="E105" s="57">
        <f>4314936.67</f>
        <v>4314936.67</v>
      </c>
      <c r="F105" s="57">
        <f t="shared" ref="F105" si="16">D105+E105</f>
        <v>4314936.67</v>
      </c>
      <c r="G105" s="7"/>
      <c r="H105" s="7"/>
      <c r="I105" s="7"/>
    </row>
    <row r="106" spans="1:9" ht="34.15" customHeight="1" x14ac:dyDescent="0.2">
      <c r="A106" s="69" t="s">
        <v>48</v>
      </c>
      <c r="B106" s="69">
        <v>1160</v>
      </c>
      <c r="C106" s="84" t="s">
        <v>49</v>
      </c>
      <c r="D106" s="47">
        <v>8094345</v>
      </c>
      <c r="E106" s="59">
        <f>E107</f>
        <v>6749777.0899999999</v>
      </c>
      <c r="F106" s="59">
        <f>D106+E106</f>
        <v>14844122.09</v>
      </c>
      <c r="G106" s="7"/>
      <c r="H106" s="7"/>
      <c r="I106" s="7"/>
    </row>
    <row r="107" spans="1:9" ht="34.15" customHeight="1" x14ac:dyDescent="0.2">
      <c r="A107" s="73" t="s">
        <v>53</v>
      </c>
      <c r="B107" s="73" t="s">
        <v>52</v>
      </c>
      <c r="C107" s="89" t="s">
        <v>51</v>
      </c>
      <c r="D107" s="71">
        <v>7805500</v>
      </c>
      <c r="E107" s="72">
        <f>E108</f>
        <v>6749777.0899999999</v>
      </c>
      <c r="F107" s="72">
        <f>D107+E107</f>
        <v>14555277.09</v>
      </c>
      <c r="G107" s="7"/>
      <c r="H107" s="7"/>
    </row>
    <row r="108" spans="1:9" ht="24" customHeight="1" x14ac:dyDescent="0.2">
      <c r="A108" s="78"/>
      <c r="B108" s="74"/>
      <c r="C108" s="48" t="s">
        <v>6</v>
      </c>
      <c r="D108" s="72">
        <v>7805500</v>
      </c>
      <c r="E108" s="72">
        <f>E109+41866+6475.49+87958.8+5800500</f>
        <v>6749777.0899999999</v>
      </c>
      <c r="F108" s="57">
        <f>D108+E108</f>
        <v>14555277.09</v>
      </c>
      <c r="G108" s="7"/>
      <c r="H108" s="7"/>
    </row>
    <row r="109" spans="1:9" ht="86.45" customHeight="1" x14ac:dyDescent="0.2">
      <c r="A109" s="58"/>
      <c r="B109" s="58"/>
      <c r="C109" s="86" t="s">
        <v>50</v>
      </c>
      <c r="D109" s="71">
        <v>0</v>
      </c>
      <c r="E109" s="57">
        <f>812976.8</f>
        <v>812976.8</v>
      </c>
      <c r="F109" s="57">
        <f t="shared" ref="F109:F111" si="17">D109+E109</f>
        <v>812976.8</v>
      </c>
      <c r="G109" s="7"/>
      <c r="H109" s="7"/>
      <c r="I109" s="7"/>
    </row>
    <row r="110" spans="1:9" ht="38.450000000000003" customHeight="1" x14ac:dyDescent="0.2">
      <c r="A110" s="69" t="s">
        <v>61</v>
      </c>
      <c r="B110" s="69">
        <v>5030</v>
      </c>
      <c r="C110" s="84" t="s">
        <v>59</v>
      </c>
      <c r="D110" s="47">
        <v>2975706</v>
      </c>
      <c r="E110" s="59">
        <f>E111</f>
        <v>10017163.01</v>
      </c>
      <c r="F110" s="45">
        <f t="shared" si="17"/>
        <v>12992869.01</v>
      </c>
      <c r="G110" s="7"/>
      <c r="H110" s="7"/>
    </row>
    <row r="111" spans="1:9" ht="55.9" customHeight="1" x14ac:dyDescent="0.2">
      <c r="A111" s="73" t="s">
        <v>62</v>
      </c>
      <c r="B111" s="73">
        <v>5031</v>
      </c>
      <c r="C111" s="89" t="s">
        <v>60</v>
      </c>
      <c r="D111" s="71">
        <v>2975706</v>
      </c>
      <c r="E111" s="72">
        <f>E112</f>
        <v>10017163.01</v>
      </c>
      <c r="F111" s="57">
        <f t="shared" si="17"/>
        <v>12992869.01</v>
      </c>
      <c r="G111" s="7"/>
      <c r="H111" s="7"/>
    </row>
    <row r="112" spans="1:9" ht="21" customHeight="1" x14ac:dyDescent="0.2">
      <c r="A112" s="78"/>
      <c r="B112" s="74"/>
      <c r="C112" s="48" t="s">
        <v>6</v>
      </c>
      <c r="D112" s="72">
        <v>515250</v>
      </c>
      <c r="E112" s="72">
        <f>17163.01+10000000</f>
        <v>10017163.01</v>
      </c>
      <c r="F112" s="57">
        <f>D112+E112</f>
        <v>10532413.01</v>
      </c>
      <c r="G112" s="7"/>
      <c r="H112" s="7"/>
    </row>
    <row r="113" spans="1:8" ht="25.9" customHeight="1" x14ac:dyDescent="0.2">
      <c r="A113" s="69" t="s">
        <v>56</v>
      </c>
      <c r="B113" s="69" t="s">
        <v>55</v>
      </c>
      <c r="C113" s="84" t="s">
        <v>54</v>
      </c>
      <c r="D113" s="47">
        <f>D114</f>
        <v>0</v>
      </c>
      <c r="E113" s="59">
        <f>E114</f>
        <v>1070352.4099999999</v>
      </c>
      <c r="F113" s="45">
        <f t="shared" ref="F113:F116" si="18">D113+E113</f>
        <v>1070352.4099999999</v>
      </c>
      <c r="G113" s="7"/>
      <c r="H113" s="7"/>
    </row>
    <row r="114" spans="1:8" ht="76.150000000000006" customHeight="1" x14ac:dyDescent="0.2">
      <c r="A114" s="73" t="s">
        <v>57</v>
      </c>
      <c r="B114" s="73" t="s">
        <v>58</v>
      </c>
      <c r="C114" s="86" t="s">
        <v>149</v>
      </c>
      <c r="D114" s="71">
        <v>0</v>
      </c>
      <c r="E114" s="72">
        <f>E115</f>
        <v>1070352.4099999999</v>
      </c>
      <c r="F114" s="72">
        <f>D114+E114</f>
        <v>1070352.4099999999</v>
      </c>
      <c r="G114" s="7"/>
      <c r="H114" s="7"/>
    </row>
    <row r="115" spans="1:8" ht="24" customHeight="1" x14ac:dyDescent="0.2">
      <c r="A115" s="78"/>
      <c r="B115" s="74"/>
      <c r="C115" s="48" t="s">
        <v>6</v>
      </c>
      <c r="D115" s="72">
        <v>0</v>
      </c>
      <c r="E115" s="72">
        <f>E116</f>
        <v>1070352.4099999999</v>
      </c>
      <c r="F115" s="57">
        <f t="shared" si="18"/>
        <v>1070352.4099999999</v>
      </c>
      <c r="G115" s="7"/>
      <c r="H115" s="7"/>
    </row>
    <row r="116" spans="1:8" ht="87.6" customHeight="1" x14ac:dyDescent="0.2">
      <c r="A116" s="58"/>
      <c r="B116" s="58"/>
      <c r="C116" s="86" t="s">
        <v>50</v>
      </c>
      <c r="D116" s="71">
        <v>0</v>
      </c>
      <c r="E116" s="57">
        <f>1070352.41</f>
        <v>1070352.4099999999</v>
      </c>
      <c r="F116" s="57">
        <f t="shared" si="18"/>
        <v>1070352.4099999999</v>
      </c>
      <c r="G116" s="7"/>
      <c r="H116" s="7"/>
    </row>
    <row r="117" spans="1:8" ht="41.25" customHeight="1" x14ac:dyDescent="0.2">
      <c r="A117" s="77" t="s">
        <v>63</v>
      </c>
      <c r="B117" s="50"/>
      <c r="C117" s="50" t="s">
        <v>18</v>
      </c>
      <c r="D117" s="30">
        <f>D118</f>
        <v>79254087</v>
      </c>
      <c r="E117" s="30">
        <f>E118</f>
        <v>6720000</v>
      </c>
      <c r="F117" s="30">
        <f t="shared" si="13"/>
        <v>85974087</v>
      </c>
      <c r="G117" s="7"/>
      <c r="H117" s="7"/>
    </row>
    <row r="118" spans="1:8" ht="36.75" customHeight="1" x14ac:dyDescent="0.2">
      <c r="A118" s="77" t="s">
        <v>64</v>
      </c>
      <c r="B118" s="50"/>
      <c r="C118" s="50" t="s">
        <v>18</v>
      </c>
      <c r="D118" s="30">
        <f>79254087</f>
        <v>79254087</v>
      </c>
      <c r="E118" s="30">
        <f>E120+E123</f>
        <v>6720000</v>
      </c>
      <c r="F118" s="30">
        <f t="shared" si="13"/>
        <v>85974087</v>
      </c>
      <c r="G118" s="7"/>
      <c r="H118" s="7"/>
    </row>
    <row r="119" spans="1:8" ht="23.25" customHeight="1" x14ac:dyDescent="0.2">
      <c r="A119" s="80"/>
      <c r="B119" s="70"/>
      <c r="C119" s="70" t="s">
        <v>6</v>
      </c>
      <c r="D119" s="46">
        <f>51375352</f>
        <v>51375352</v>
      </c>
      <c r="E119" s="46">
        <f>E122</f>
        <v>6300000</v>
      </c>
      <c r="F119" s="46">
        <f t="shared" si="13"/>
        <v>57675352</v>
      </c>
      <c r="G119" s="7"/>
      <c r="H119" s="7"/>
    </row>
    <row r="120" spans="1:8" ht="35.25" customHeight="1" x14ac:dyDescent="0.2">
      <c r="A120" s="69" t="s">
        <v>77</v>
      </c>
      <c r="B120" s="69">
        <v>2110</v>
      </c>
      <c r="C120" s="85" t="s">
        <v>79</v>
      </c>
      <c r="D120" s="45">
        <f>D121</f>
        <v>26448551</v>
      </c>
      <c r="E120" s="45">
        <f>E121</f>
        <v>6300000</v>
      </c>
      <c r="F120" s="45">
        <f t="shared" si="13"/>
        <v>32748551</v>
      </c>
      <c r="G120" s="7"/>
      <c r="H120" s="7"/>
    </row>
    <row r="121" spans="1:8" ht="73.150000000000006" customHeight="1" x14ac:dyDescent="0.2">
      <c r="A121" s="73" t="s">
        <v>78</v>
      </c>
      <c r="B121" s="73">
        <v>2111</v>
      </c>
      <c r="C121" s="98" t="s">
        <v>80</v>
      </c>
      <c r="D121" s="57">
        <f>26448551</f>
        <v>26448551</v>
      </c>
      <c r="E121" s="57">
        <f>E122</f>
        <v>6300000</v>
      </c>
      <c r="F121" s="57">
        <f t="shared" si="13"/>
        <v>32748551</v>
      </c>
      <c r="G121" s="7"/>
      <c r="H121" s="7"/>
    </row>
    <row r="122" spans="1:8" ht="23.25" customHeight="1" x14ac:dyDescent="0.2">
      <c r="A122" s="58"/>
      <c r="B122" s="58"/>
      <c r="C122" s="48" t="s">
        <v>6</v>
      </c>
      <c r="D122" s="71">
        <f>25944168</f>
        <v>25944168</v>
      </c>
      <c r="E122" s="57">
        <f>6300000</f>
        <v>6300000</v>
      </c>
      <c r="F122" s="57">
        <f t="shared" si="13"/>
        <v>32244168</v>
      </c>
      <c r="G122" s="7"/>
      <c r="H122" s="7"/>
    </row>
    <row r="123" spans="1:8" ht="38.450000000000003" customHeight="1" x14ac:dyDescent="0.2">
      <c r="A123" s="69" t="s">
        <v>150</v>
      </c>
      <c r="B123" s="69" t="s">
        <v>151</v>
      </c>
      <c r="C123" s="85" t="s">
        <v>152</v>
      </c>
      <c r="D123" s="45">
        <v>0</v>
      </c>
      <c r="E123" s="45">
        <f>E124</f>
        <v>420000</v>
      </c>
      <c r="F123" s="45">
        <f t="shared" ref="F123:F124" si="19">D123+E123</f>
        <v>420000</v>
      </c>
      <c r="G123" s="7"/>
      <c r="H123" s="7"/>
    </row>
    <row r="124" spans="1:8" ht="23.25" customHeight="1" x14ac:dyDescent="0.2">
      <c r="A124" s="58"/>
      <c r="B124" s="58"/>
      <c r="C124" s="48" t="s">
        <v>17</v>
      </c>
      <c r="D124" s="71">
        <v>0</v>
      </c>
      <c r="E124" s="57">
        <f>420000</f>
        <v>420000</v>
      </c>
      <c r="F124" s="57">
        <f t="shared" si="19"/>
        <v>420000</v>
      </c>
      <c r="G124" s="7"/>
      <c r="H124" s="7"/>
    </row>
    <row r="125" spans="1:8" ht="40.9" customHeight="1" x14ac:dyDescent="0.2">
      <c r="A125" s="77" t="s">
        <v>88</v>
      </c>
      <c r="B125" s="50"/>
      <c r="C125" s="50" t="s">
        <v>21</v>
      </c>
      <c r="D125" s="30">
        <f>D126</f>
        <v>707500</v>
      </c>
      <c r="E125" s="30">
        <f>E126</f>
        <v>36000</v>
      </c>
      <c r="F125" s="30">
        <f t="shared" ref="F125:F129" si="20">D125+E125</f>
        <v>743500</v>
      </c>
      <c r="G125" s="7"/>
      <c r="H125" s="7"/>
    </row>
    <row r="126" spans="1:8" ht="40.9" customHeight="1" x14ac:dyDescent="0.2">
      <c r="A126" s="77" t="s">
        <v>89</v>
      </c>
      <c r="B126" s="50"/>
      <c r="C126" s="50" t="s">
        <v>21</v>
      </c>
      <c r="D126" s="30">
        <f>707500</f>
        <v>707500</v>
      </c>
      <c r="E126" s="30">
        <f>E128</f>
        <v>36000</v>
      </c>
      <c r="F126" s="30">
        <f t="shared" si="20"/>
        <v>743500</v>
      </c>
      <c r="G126" s="7"/>
      <c r="H126" s="7"/>
    </row>
    <row r="127" spans="1:8" ht="23.25" customHeight="1" x14ac:dyDescent="0.2">
      <c r="A127" s="80"/>
      <c r="B127" s="70"/>
      <c r="C127" s="70" t="s">
        <v>6</v>
      </c>
      <c r="D127" s="46">
        <f>707500</f>
        <v>707500</v>
      </c>
      <c r="E127" s="46">
        <f>E130</f>
        <v>36000</v>
      </c>
      <c r="F127" s="46">
        <f t="shared" si="20"/>
        <v>743500</v>
      </c>
      <c r="G127" s="7"/>
      <c r="H127" s="7"/>
    </row>
    <row r="128" spans="1:8" ht="42" customHeight="1" x14ac:dyDescent="0.2">
      <c r="A128" s="69" t="s">
        <v>90</v>
      </c>
      <c r="B128" s="69">
        <v>3110</v>
      </c>
      <c r="C128" s="85" t="s">
        <v>93</v>
      </c>
      <c r="D128" s="45">
        <f>D129</f>
        <v>100000</v>
      </c>
      <c r="E128" s="45">
        <f>E129</f>
        <v>36000</v>
      </c>
      <c r="F128" s="45">
        <f t="shared" si="20"/>
        <v>136000</v>
      </c>
      <c r="G128" s="7"/>
      <c r="H128" s="7"/>
    </row>
    <row r="129" spans="1:8" ht="53.45" customHeight="1" x14ac:dyDescent="0.2">
      <c r="A129" s="73" t="s">
        <v>91</v>
      </c>
      <c r="B129" s="73" t="s">
        <v>92</v>
      </c>
      <c r="C129" s="98" t="s">
        <v>94</v>
      </c>
      <c r="D129" s="57">
        <f>100000</f>
        <v>100000</v>
      </c>
      <c r="E129" s="57">
        <f>E130</f>
        <v>36000</v>
      </c>
      <c r="F129" s="57">
        <f t="shared" si="20"/>
        <v>136000</v>
      </c>
      <c r="G129" s="7"/>
      <c r="H129" s="7"/>
    </row>
    <row r="130" spans="1:8" ht="23.25" customHeight="1" x14ac:dyDescent="0.2">
      <c r="A130" s="58"/>
      <c r="B130" s="58"/>
      <c r="C130" s="48" t="s">
        <v>6</v>
      </c>
      <c r="D130" s="71">
        <v>100000</v>
      </c>
      <c r="E130" s="57">
        <f>36000</f>
        <v>36000</v>
      </c>
      <c r="F130" s="57">
        <f t="shared" ref="F130" si="21">D130+E130</f>
        <v>136000</v>
      </c>
      <c r="G130" s="7"/>
      <c r="H130" s="7"/>
    </row>
    <row r="131" spans="1:8" ht="43.15" customHeight="1" x14ac:dyDescent="0.2">
      <c r="A131" s="79">
        <v>1000000</v>
      </c>
      <c r="B131" s="50"/>
      <c r="C131" s="50" t="s">
        <v>23</v>
      </c>
      <c r="D131" s="30">
        <f>D132</f>
        <v>12331837</v>
      </c>
      <c r="E131" s="30">
        <f>E132</f>
        <v>311529</v>
      </c>
      <c r="F131" s="30">
        <f t="shared" ref="F131:F137" si="22">D131+E131</f>
        <v>12643366</v>
      </c>
      <c r="G131" s="7"/>
      <c r="H131" s="7"/>
    </row>
    <row r="132" spans="1:8" ht="38.450000000000003" customHeight="1" x14ac:dyDescent="0.2">
      <c r="A132" s="79">
        <v>1010000</v>
      </c>
      <c r="B132" s="50"/>
      <c r="C132" s="50" t="s">
        <v>23</v>
      </c>
      <c r="D132" s="30">
        <v>12331837</v>
      </c>
      <c r="E132" s="30">
        <f>E133</f>
        <v>311529</v>
      </c>
      <c r="F132" s="30">
        <f t="shared" si="22"/>
        <v>12643366</v>
      </c>
      <c r="G132" s="7"/>
      <c r="H132" s="7"/>
    </row>
    <row r="133" spans="1:8" ht="23.25" customHeight="1" x14ac:dyDescent="0.2">
      <c r="A133" s="80"/>
      <c r="B133" s="70"/>
      <c r="C133" s="70" t="s">
        <v>6</v>
      </c>
      <c r="D133" s="46">
        <v>3402698</v>
      </c>
      <c r="E133" s="46">
        <f>E135+E137</f>
        <v>311529</v>
      </c>
      <c r="F133" s="46">
        <f t="shared" si="22"/>
        <v>3714227</v>
      </c>
      <c r="G133" s="7"/>
      <c r="H133" s="7"/>
    </row>
    <row r="134" spans="1:8" ht="91.9" customHeight="1" x14ac:dyDescent="0.2">
      <c r="A134" s="69">
        <v>1011100</v>
      </c>
      <c r="B134" s="69">
        <v>1100</v>
      </c>
      <c r="C134" s="85" t="s">
        <v>86</v>
      </c>
      <c r="D134" s="59">
        <v>8825052</v>
      </c>
      <c r="E134" s="59">
        <f>E135</f>
        <v>238134</v>
      </c>
      <c r="F134" s="45">
        <f t="shared" si="22"/>
        <v>9063186</v>
      </c>
      <c r="G134" s="7"/>
      <c r="H134" s="7"/>
    </row>
    <row r="135" spans="1:8" ht="23.25" customHeight="1" x14ac:dyDescent="0.2">
      <c r="A135" s="58"/>
      <c r="B135" s="58"/>
      <c r="C135" s="48" t="s">
        <v>6</v>
      </c>
      <c r="D135" s="71">
        <v>637378</v>
      </c>
      <c r="E135" s="57">
        <f>238134</f>
        <v>238134</v>
      </c>
      <c r="F135" s="57">
        <f t="shared" si="22"/>
        <v>875512</v>
      </c>
      <c r="G135" s="7"/>
      <c r="H135" s="7"/>
    </row>
    <row r="136" spans="1:8" ht="53.45" customHeight="1" x14ac:dyDescent="0.2">
      <c r="A136" s="69">
        <v>1014060</v>
      </c>
      <c r="B136" s="69">
        <v>4060</v>
      </c>
      <c r="C136" s="85" t="s">
        <v>87</v>
      </c>
      <c r="D136" s="59">
        <v>2646765</v>
      </c>
      <c r="E136" s="59">
        <f>E137</f>
        <v>73395</v>
      </c>
      <c r="F136" s="45">
        <f t="shared" si="22"/>
        <v>2720160</v>
      </c>
      <c r="G136" s="7"/>
      <c r="H136" s="7"/>
    </row>
    <row r="137" spans="1:8" ht="23.25" customHeight="1" x14ac:dyDescent="0.2">
      <c r="A137" s="58"/>
      <c r="B137" s="58"/>
      <c r="C137" s="48" t="s">
        <v>6</v>
      </c>
      <c r="D137" s="71">
        <v>2131770</v>
      </c>
      <c r="E137" s="57">
        <f>73395</f>
        <v>73395</v>
      </c>
      <c r="F137" s="57">
        <f t="shared" si="22"/>
        <v>2205165</v>
      </c>
      <c r="G137" s="7"/>
      <c r="H137" s="7"/>
    </row>
    <row r="138" spans="1:8" ht="56.25" customHeight="1" x14ac:dyDescent="0.2">
      <c r="A138" s="79">
        <v>1200000</v>
      </c>
      <c r="B138" s="50"/>
      <c r="C138" s="50" t="s">
        <v>7</v>
      </c>
      <c r="D138" s="30">
        <f>D139</f>
        <v>243416971</v>
      </c>
      <c r="E138" s="30">
        <f>E139</f>
        <v>3856746</v>
      </c>
      <c r="F138" s="30">
        <f t="shared" ref="F138:F139" si="23">D138+E138</f>
        <v>247273717</v>
      </c>
      <c r="G138" s="7"/>
      <c r="H138" s="7"/>
    </row>
    <row r="139" spans="1:8" ht="56.25" customHeight="1" x14ac:dyDescent="0.2">
      <c r="A139" s="79">
        <v>1210000</v>
      </c>
      <c r="B139" s="50"/>
      <c r="C139" s="50" t="s">
        <v>7</v>
      </c>
      <c r="D139" s="30">
        <v>243416971</v>
      </c>
      <c r="E139" s="30">
        <f>E141+E146+E149+E152+E155+E157+E162</f>
        <v>3856746</v>
      </c>
      <c r="F139" s="30">
        <f t="shared" si="23"/>
        <v>247273717</v>
      </c>
      <c r="G139" s="7"/>
      <c r="H139" s="7"/>
    </row>
    <row r="140" spans="1:8" ht="23.25" customHeight="1" x14ac:dyDescent="0.2">
      <c r="A140" s="80"/>
      <c r="B140" s="70"/>
      <c r="C140" s="70" t="s">
        <v>6</v>
      </c>
      <c r="D140" s="46">
        <v>215056971</v>
      </c>
      <c r="E140" s="46">
        <f>E143+E145+E147+E151+E154+E156+E161</f>
        <v>-28707554</v>
      </c>
      <c r="F140" s="46">
        <f t="shared" ref="F140:F161" si="24">D140+E140</f>
        <v>186349417</v>
      </c>
      <c r="G140" s="7"/>
      <c r="H140" s="7"/>
    </row>
    <row r="141" spans="1:8" ht="55.15" customHeight="1" x14ac:dyDescent="0.2">
      <c r="A141" s="69">
        <v>1216010</v>
      </c>
      <c r="B141" s="69">
        <v>6010</v>
      </c>
      <c r="C141" s="85" t="s">
        <v>109</v>
      </c>
      <c r="D141" s="45">
        <v>50127760</v>
      </c>
      <c r="E141" s="45">
        <f>E142+E144</f>
        <v>14018354.15</v>
      </c>
      <c r="F141" s="45">
        <f t="shared" si="24"/>
        <v>64146114.149999999</v>
      </c>
      <c r="G141" s="7"/>
      <c r="H141" s="7"/>
    </row>
    <row r="142" spans="1:8" ht="34.5" customHeight="1" x14ac:dyDescent="0.2">
      <c r="A142" s="73">
        <v>1216011</v>
      </c>
      <c r="B142" s="73">
        <v>6011</v>
      </c>
      <c r="C142" s="98" t="s">
        <v>110</v>
      </c>
      <c r="D142" s="57">
        <v>15050000</v>
      </c>
      <c r="E142" s="57">
        <f>E143</f>
        <v>18354.150000000001</v>
      </c>
      <c r="F142" s="57">
        <f t="shared" si="24"/>
        <v>15068354.15</v>
      </c>
      <c r="G142" s="7"/>
      <c r="H142" s="7"/>
    </row>
    <row r="143" spans="1:8" ht="21" customHeight="1" x14ac:dyDescent="0.2">
      <c r="A143" s="58"/>
      <c r="B143" s="58"/>
      <c r="C143" s="48" t="s">
        <v>6</v>
      </c>
      <c r="D143" s="71">
        <v>15000000</v>
      </c>
      <c r="E143" s="57">
        <f>18354.15</f>
        <v>18354.150000000001</v>
      </c>
      <c r="F143" s="57">
        <f t="shared" si="24"/>
        <v>15018354.15</v>
      </c>
      <c r="G143" s="7"/>
      <c r="H143" s="7"/>
    </row>
    <row r="144" spans="1:8" ht="39" customHeight="1" x14ac:dyDescent="0.2">
      <c r="A144" s="73">
        <v>1216015</v>
      </c>
      <c r="B144" s="73">
        <v>6015</v>
      </c>
      <c r="C144" s="98" t="s">
        <v>160</v>
      </c>
      <c r="D144" s="57">
        <f>D145</f>
        <v>30077760</v>
      </c>
      <c r="E144" s="57">
        <f>E145</f>
        <v>14000000</v>
      </c>
      <c r="F144" s="57">
        <f t="shared" ref="F144:F145" si="25">D144+E144</f>
        <v>44077760</v>
      </c>
      <c r="G144" s="7"/>
      <c r="H144" s="7"/>
    </row>
    <row r="145" spans="1:8" ht="21" customHeight="1" x14ac:dyDescent="0.2">
      <c r="A145" s="58"/>
      <c r="B145" s="58"/>
      <c r="C145" s="48" t="s">
        <v>6</v>
      </c>
      <c r="D145" s="71">
        <f>30077760</f>
        <v>30077760</v>
      </c>
      <c r="E145" s="57">
        <f>14000000</f>
        <v>14000000</v>
      </c>
      <c r="F145" s="57">
        <f t="shared" si="25"/>
        <v>44077760</v>
      </c>
      <c r="G145" s="7"/>
      <c r="H145" s="7"/>
    </row>
    <row r="146" spans="1:8" ht="38.450000000000003" customHeight="1" x14ac:dyDescent="0.2">
      <c r="A146" s="69">
        <v>1216030</v>
      </c>
      <c r="B146" s="69">
        <v>6030</v>
      </c>
      <c r="C146" s="85" t="s">
        <v>105</v>
      </c>
      <c r="D146" s="47">
        <v>18400000</v>
      </c>
      <c r="E146" s="45">
        <f>E147</f>
        <v>1571966.05</v>
      </c>
      <c r="F146" s="45">
        <f t="shared" si="24"/>
        <v>19971966.050000001</v>
      </c>
      <c r="G146" s="7"/>
      <c r="H146" s="7"/>
    </row>
    <row r="147" spans="1:8" ht="23.25" customHeight="1" x14ac:dyDescent="0.2">
      <c r="A147" s="58"/>
      <c r="B147" s="58"/>
      <c r="C147" s="48" t="s">
        <v>6</v>
      </c>
      <c r="D147" s="71">
        <v>18400000</v>
      </c>
      <c r="E147" s="57">
        <f>175877.64+409056-20000+22032.41+E148</f>
        <v>1571966.05</v>
      </c>
      <c r="F147" s="57">
        <f t="shared" si="24"/>
        <v>19971966.050000001</v>
      </c>
      <c r="G147" s="7"/>
      <c r="H147" s="7"/>
    </row>
    <row r="148" spans="1:8" ht="89.45" customHeight="1" x14ac:dyDescent="0.2">
      <c r="A148" s="58"/>
      <c r="B148" s="58"/>
      <c r="C148" s="86" t="s">
        <v>50</v>
      </c>
      <c r="D148" s="71">
        <v>0</v>
      </c>
      <c r="E148" s="57">
        <f>985000</f>
        <v>985000</v>
      </c>
      <c r="F148" s="57">
        <f t="shared" si="24"/>
        <v>985000</v>
      </c>
      <c r="G148" s="7"/>
      <c r="H148" s="7"/>
    </row>
    <row r="149" spans="1:8" ht="58.15" customHeight="1" x14ac:dyDescent="0.2">
      <c r="A149" s="69">
        <v>1217420</v>
      </c>
      <c r="B149" s="69">
        <v>7420</v>
      </c>
      <c r="C149" s="85" t="s">
        <v>161</v>
      </c>
      <c r="D149" s="47">
        <v>11536000</v>
      </c>
      <c r="E149" s="45">
        <f>E150</f>
        <v>-11536000</v>
      </c>
      <c r="F149" s="45">
        <f t="shared" si="24"/>
        <v>0</v>
      </c>
      <c r="G149" s="7"/>
      <c r="H149" s="7"/>
    </row>
    <row r="150" spans="1:8" ht="40.15" customHeight="1" x14ac:dyDescent="0.2">
      <c r="A150" s="73">
        <v>1217426</v>
      </c>
      <c r="B150" s="73">
        <v>7426</v>
      </c>
      <c r="C150" s="98" t="s">
        <v>162</v>
      </c>
      <c r="D150" s="71">
        <v>115326000</v>
      </c>
      <c r="E150" s="57">
        <f>E151</f>
        <v>-11536000</v>
      </c>
      <c r="F150" s="57">
        <f t="shared" si="24"/>
        <v>103790000</v>
      </c>
      <c r="G150" s="7"/>
      <c r="H150" s="7"/>
    </row>
    <row r="151" spans="1:8" ht="24.6" customHeight="1" x14ac:dyDescent="0.2">
      <c r="A151" s="58"/>
      <c r="B151" s="58"/>
      <c r="C151" s="48" t="s">
        <v>6</v>
      </c>
      <c r="D151" s="71">
        <v>11536000</v>
      </c>
      <c r="E151" s="57">
        <f>-11536000</f>
        <v>-11536000</v>
      </c>
      <c r="F151" s="57">
        <f>D151+E151</f>
        <v>0</v>
      </c>
      <c r="G151" s="7"/>
      <c r="H151" s="7"/>
    </row>
    <row r="152" spans="1:8" ht="33.6" customHeight="1" x14ac:dyDescent="0.2">
      <c r="A152" s="69">
        <v>1217460</v>
      </c>
      <c r="B152" s="69">
        <v>7460</v>
      </c>
      <c r="C152" s="85" t="s">
        <v>156</v>
      </c>
      <c r="D152" s="47">
        <v>18000000</v>
      </c>
      <c r="E152" s="45">
        <f>E153</f>
        <v>1000000</v>
      </c>
      <c r="F152" s="45">
        <f t="shared" ref="F152" si="26">D152+E152</f>
        <v>19000000</v>
      </c>
      <c r="G152" s="7"/>
      <c r="H152" s="7"/>
    </row>
    <row r="153" spans="1:8" ht="70.900000000000006" customHeight="1" x14ac:dyDescent="0.2">
      <c r="A153" s="73">
        <v>1217461</v>
      </c>
      <c r="B153" s="73">
        <v>7461</v>
      </c>
      <c r="C153" s="98" t="s">
        <v>157</v>
      </c>
      <c r="D153" s="71">
        <v>18000000</v>
      </c>
      <c r="E153" s="57">
        <f>E154</f>
        <v>1000000</v>
      </c>
      <c r="F153" s="57">
        <f t="shared" ref="F153" si="27">D153+E153</f>
        <v>19000000</v>
      </c>
      <c r="G153" s="7"/>
      <c r="H153" s="7"/>
    </row>
    <row r="154" spans="1:8" ht="25.9" customHeight="1" x14ac:dyDescent="0.2">
      <c r="A154" s="58"/>
      <c r="B154" s="58"/>
      <c r="C154" s="48" t="s">
        <v>6</v>
      </c>
      <c r="D154" s="71">
        <v>18000000</v>
      </c>
      <c r="E154" s="57">
        <f>1000000</f>
        <v>1000000</v>
      </c>
      <c r="F154" s="57">
        <f>D154+E154</f>
        <v>19000000</v>
      </c>
      <c r="G154" s="7"/>
      <c r="H154" s="7"/>
    </row>
    <row r="155" spans="1:8" ht="36.6" customHeight="1" x14ac:dyDescent="0.2">
      <c r="A155" s="69" t="s">
        <v>111</v>
      </c>
      <c r="B155" s="69" t="s">
        <v>112</v>
      </c>
      <c r="C155" s="49" t="s">
        <v>113</v>
      </c>
      <c r="D155" s="45">
        <v>14600000</v>
      </c>
      <c r="E155" s="45">
        <f>E156</f>
        <v>21125.8</v>
      </c>
      <c r="F155" s="45">
        <f t="shared" si="24"/>
        <v>14621125.800000001</v>
      </c>
      <c r="G155" s="7"/>
      <c r="H155" s="7"/>
    </row>
    <row r="156" spans="1:8" ht="23.25" customHeight="1" x14ac:dyDescent="0.2">
      <c r="A156" s="58"/>
      <c r="B156" s="58"/>
      <c r="C156" s="48" t="s">
        <v>6</v>
      </c>
      <c r="D156" s="71">
        <v>14600000</v>
      </c>
      <c r="E156" s="57">
        <f>21125.8</f>
        <v>21125.8</v>
      </c>
      <c r="F156" s="57">
        <f>D156+E156</f>
        <v>14621125.800000001</v>
      </c>
      <c r="G156" s="7"/>
      <c r="H156" s="7"/>
    </row>
    <row r="157" spans="1:8" ht="26.45" customHeight="1" x14ac:dyDescent="0.2">
      <c r="A157" s="69">
        <v>1217690</v>
      </c>
      <c r="B157" s="69">
        <v>7690</v>
      </c>
      <c r="C157" s="85" t="s">
        <v>106</v>
      </c>
      <c r="D157" s="47">
        <v>97651871</v>
      </c>
      <c r="E157" s="45">
        <f>E158+E160</f>
        <v>-27783000</v>
      </c>
      <c r="F157" s="45">
        <f t="shared" si="24"/>
        <v>69868871</v>
      </c>
      <c r="G157" s="7"/>
      <c r="H157" s="7"/>
    </row>
    <row r="158" spans="1:8" ht="147" customHeight="1" x14ac:dyDescent="0.2">
      <c r="A158" s="73" t="s">
        <v>114</v>
      </c>
      <c r="B158" s="73" t="s">
        <v>115</v>
      </c>
      <c r="C158" s="98" t="s">
        <v>116</v>
      </c>
      <c r="D158" s="71">
        <v>125000</v>
      </c>
      <c r="E158" s="57">
        <f>E159</f>
        <v>6000000</v>
      </c>
      <c r="F158" s="57">
        <f t="shared" si="24"/>
        <v>6125000</v>
      </c>
      <c r="G158" s="7"/>
      <c r="H158" s="7"/>
    </row>
    <row r="159" spans="1:8" ht="23.25" customHeight="1" x14ac:dyDescent="0.2">
      <c r="A159" s="58"/>
      <c r="B159" s="58"/>
      <c r="C159" s="48" t="s">
        <v>17</v>
      </c>
      <c r="D159" s="71">
        <v>25000</v>
      </c>
      <c r="E159" s="57">
        <f>6000000</f>
        <v>6000000</v>
      </c>
      <c r="F159" s="57">
        <f t="shared" si="24"/>
        <v>6025000</v>
      </c>
      <c r="G159" s="7"/>
      <c r="H159" s="7"/>
    </row>
    <row r="160" spans="1:8" ht="36" customHeight="1" x14ac:dyDescent="0.2">
      <c r="A160" s="73">
        <v>1217693</v>
      </c>
      <c r="B160" s="73">
        <v>7693</v>
      </c>
      <c r="C160" s="104" t="s">
        <v>24</v>
      </c>
      <c r="D160" s="72">
        <f>D161</f>
        <v>97526871</v>
      </c>
      <c r="E160" s="72">
        <f>E161</f>
        <v>-33783000</v>
      </c>
      <c r="F160" s="57">
        <f t="shared" si="24"/>
        <v>63743871</v>
      </c>
      <c r="G160" s="7"/>
      <c r="H160" s="7"/>
    </row>
    <row r="161" spans="1:8" ht="23.25" customHeight="1" x14ac:dyDescent="0.2">
      <c r="A161" s="102"/>
      <c r="B161" s="103"/>
      <c r="C161" s="48" t="s">
        <v>6</v>
      </c>
      <c r="D161" s="72">
        <v>97526871</v>
      </c>
      <c r="E161" s="72">
        <f>-33783000</f>
        <v>-33783000</v>
      </c>
      <c r="F161" s="57">
        <f t="shared" si="24"/>
        <v>63743871</v>
      </c>
      <c r="G161" s="7"/>
      <c r="H161" s="7"/>
    </row>
    <row r="162" spans="1:8" ht="36.6" customHeight="1" x14ac:dyDescent="0.2">
      <c r="A162" s="69" t="s">
        <v>170</v>
      </c>
      <c r="B162" s="69" t="s">
        <v>151</v>
      </c>
      <c r="C162" s="85" t="s">
        <v>152</v>
      </c>
      <c r="D162" s="47">
        <v>27685000</v>
      </c>
      <c r="E162" s="45">
        <f>E163</f>
        <v>26564300</v>
      </c>
      <c r="F162" s="45">
        <f t="shared" ref="F162:F163" si="28">D162+E162</f>
        <v>54249300</v>
      </c>
      <c r="G162" s="7"/>
      <c r="H162" s="7"/>
    </row>
    <row r="163" spans="1:8" ht="23.25" customHeight="1" x14ac:dyDescent="0.2">
      <c r="A163" s="58"/>
      <c r="B163" s="58"/>
      <c r="C163" s="48" t="s">
        <v>17</v>
      </c>
      <c r="D163" s="71">
        <v>0</v>
      </c>
      <c r="E163" s="57">
        <f>26564300</f>
        <v>26564300</v>
      </c>
      <c r="F163" s="57">
        <f t="shared" si="28"/>
        <v>26564300</v>
      </c>
      <c r="G163" s="7"/>
      <c r="H163" s="7"/>
    </row>
    <row r="164" spans="1:8" ht="53.45" customHeight="1" x14ac:dyDescent="0.2">
      <c r="A164" s="79">
        <v>1500000</v>
      </c>
      <c r="B164" s="50"/>
      <c r="C164" s="50" t="s">
        <v>12</v>
      </c>
      <c r="D164" s="30">
        <f>D165</f>
        <v>75832000</v>
      </c>
      <c r="E164" s="30">
        <f>E165</f>
        <v>28041885.270000003</v>
      </c>
      <c r="F164" s="30">
        <f t="shared" ref="F164:F184" si="29">D164+E164</f>
        <v>103873885.27000001</v>
      </c>
      <c r="G164" s="7"/>
      <c r="H164" s="7"/>
    </row>
    <row r="165" spans="1:8" ht="54.6" customHeight="1" x14ac:dyDescent="0.2">
      <c r="A165" s="79">
        <v>1510000</v>
      </c>
      <c r="B165" s="50"/>
      <c r="C165" s="50" t="s">
        <v>12</v>
      </c>
      <c r="D165" s="30">
        <v>75832000</v>
      </c>
      <c r="E165" s="30">
        <f>E167+E169+E178+E181</f>
        <v>28041885.270000003</v>
      </c>
      <c r="F165" s="30">
        <f t="shared" si="29"/>
        <v>103873885.27000001</v>
      </c>
      <c r="G165" s="7"/>
      <c r="H165" s="7"/>
    </row>
    <row r="166" spans="1:8" ht="24.75" customHeight="1" x14ac:dyDescent="0.2">
      <c r="A166" s="80"/>
      <c r="B166" s="70"/>
      <c r="C166" s="70" t="s">
        <v>6</v>
      </c>
      <c r="D166" s="46">
        <v>53222900</v>
      </c>
      <c r="E166" s="46">
        <f>E168+E171+E173+E175+E177</f>
        <v>25804985.270000003</v>
      </c>
      <c r="F166" s="46">
        <f t="shared" si="29"/>
        <v>79027885.270000011</v>
      </c>
      <c r="G166" s="7"/>
      <c r="H166" s="7"/>
    </row>
    <row r="167" spans="1:8" ht="33.75" customHeight="1" x14ac:dyDescent="0.2">
      <c r="A167" s="69" t="s">
        <v>124</v>
      </c>
      <c r="B167" s="69" t="s">
        <v>112</v>
      </c>
      <c r="C167" s="85" t="s">
        <v>113</v>
      </c>
      <c r="D167" s="47">
        <v>17870000</v>
      </c>
      <c r="E167" s="45">
        <f>E168</f>
        <v>13997068.760000002</v>
      </c>
      <c r="F167" s="45">
        <f t="shared" ref="F167:F168" si="30">D167+E167</f>
        <v>31867068.760000002</v>
      </c>
      <c r="G167" s="7"/>
      <c r="H167" s="7"/>
    </row>
    <row r="168" spans="1:8" ht="24" customHeight="1" x14ac:dyDescent="0.2">
      <c r="A168" s="58"/>
      <c r="B168" s="58"/>
      <c r="C168" s="48" t="s">
        <v>6</v>
      </c>
      <c r="D168" s="71">
        <v>17870000</v>
      </c>
      <c r="E168" s="57">
        <f>1866770.46+12130298.3</f>
        <v>13997068.760000002</v>
      </c>
      <c r="F168" s="57">
        <f t="shared" si="30"/>
        <v>31867068.760000002</v>
      </c>
      <c r="G168" s="7"/>
      <c r="H168" s="7"/>
    </row>
    <row r="169" spans="1:8" ht="36.75" customHeight="1" x14ac:dyDescent="0.2">
      <c r="A169" s="69" t="s">
        <v>125</v>
      </c>
      <c r="B169" s="69" t="s">
        <v>126</v>
      </c>
      <c r="C169" s="85" t="s">
        <v>127</v>
      </c>
      <c r="D169" s="47">
        <f>D170+D172+D174+D176</f>
        <v>35352900</v>
      </c>
      <c r="E169" s="45">
        <f>E170+E172+E174+E176</f>
        <v>11807916.510000002</v>
      </c>
      <c r="F169" s="45">
        <f t="shared" si="29"/>
        <v>47160816.510000005</v>
      </c>
      <c r="G169" s="7"/>
      <c r="H169" s="7"/>
    </row>
    <row r="170" spans="1:8" ht="37.15" customHeight="1" x14ac:dyDescent="0.2">
      <c r="A170" s="73" t="s">
        <v>129</v>
      </c>
      <c r="B170" s="73" t="s">
        <v>130</v>
      </c>
      <c r="C170" s="98" t="s">
        <v>128</v>
      </c>
      <c r="D170" s="71">
        <v>14927300</v>
      </c>
      <c r="E170" s="57">
        <f>E171</f>
        <v>2154082.1800000002</v>
      </c>
      <c r="F170" s="57">
        <f t="shared" si="29"/>
        <v>17081382.18</v>
      </c>
      <c r="G170" s="7"/>
      <c r="H170" s="7"/>
    </row>
    <row r="171" spans="1:8" ht="22.15" customHeight="1" x14ac:dyDescent="0.2">
      <c r="A171" s="58"/>
      <c r="B171" s="58"/>
      <c r="C171" s="48" t="s">
        <v>6</v>
      </c>
      <c r="D171" s="71">
        <v>14927300</v>
      </c>
      <c r="E171" s="57">
        <f>860542.35+1293539.83</f>
        <v>2154082.1800000002</v>
      </c>
      <c r="F171" s="57">
        <f t="shared" si="29"/>
        <v>17081382.18</v>
      </c>
      <c r="G171" s="7"/>
      <c r="H171" s="7"/>
    </row>
    <row r="172" spans="1:8" ht="36" customHeight="1" x14ac:dyDescent="0.2">
      <c r="A172" s="73" t="s">
        <v>131</v>
      </c>
      <c r="B172" s="73" t="s">
        <v>132</v>
      </c>
      <c r="C172" s="98" t="s">
        <v>133</v>
      </c>
      <c r="D172" s="71">
        <v>15381400</v>
      </c>
      <c r="E172" s="57">
        <f>E173</f>
        <v>1105744.8700000001</v>
      </c>
      <c r="F172" s="57">
        <f t="shared" ref="F172:F173" si="31">D172+E172</f>
        <v>16487144.870000001</v>
      </c>
      <c r="G172" s="7"/>
      <c r="H172" s="7"/>
    </row>
    <row r="173" spans="1:8" ht="26.45" customHeight="1" x14ac:dyDescent="0.2">
      <c r="A173" s="58"/>
      <c r="B173" s="58"/>
      <c r="C173" s="48" t="s">
        <v>6</v>
      </c>
      <c r="D173" s="71">
        <v>15381400</v>
      </c>
      <c r="E173" s="57">
        <f>625744.87+480000</f>
        <v>1105744.8700000001</v>
      </c>
      <c r="F173" s="57">
        <f t="shared" si="31"/>
        <v>16487144.870000001</v>
      </c>
      <c r="G173" s="7"/>
      <c r="H173" s="7"/>
    </row>
    <row r="174" spans="1:8" ht="36.75" customHeight="1" x14ac:dyDescent="0.2">
      <c r="A174" s="73" t="s">
        <v>135</v>
      </c>
      <c r="B174" s="73" t="s">
        <v>136</v>
      </c>
      <c r="C174" s="98" t="s">
        <v>134</v>
      </c>
      <c r="D174" s="71">
        <v>320500</v>
      </c>
      <c r="E174" s="57">
        <f>E175</f>
        <v>2514867</v>
      </c>
      <c r="F174" s="57">
        <f t="shared" ref="F174:F175" si="32">D174+E174</f>
        <v>2835367</v>
      </c>
      <c r="G174" s="7"/>
      <c r="H174" s="7"/>
    </row>
    <row r="175" spans="1:8" ht="25.9" customHeight="1" x14ac:dyDescent="0.2">
      <c r="A175" s="58"/>
      <c r="B175" s="58"/>
      <c r="C175" s="48" t="s">
        <v>6</v>
      </c>
      <c r="D175" s="71">
        <v>320500</v>
      </c>
      <c r="E175" s="57">
        <f>1835366.06+679500.94</f>
        <v>2514867</v>
      </c>
      <c r="F175" s="57">
        <f t="shared" si="32"/>
        <v>2835367</v>
      </c>
      <c r="G175" s="7"/>
      <c r="H175" s="7"/>
    </row>
    <row r="176" spans="1:8" ht="36.75" customHeight="1" x14ac:dyDescent="0.2">
      <c r="A176" s="73" t="s">
        <v>137</v>
      </c>
      <c r="B176" s="73" t="s">
        <v>138</v>
      </c>
      <c r="C176" s="98" t="s">
        <v>139</v>
      </c>
      <c r="D176" s="71">
        <v>4723700</v>
      </c>
      <c r="E176" s="57">
        <f>E177</f>
        <v>6033222.46</v>
      </c>
      <c r="F176" s="57">
        <f t="shared" ref="F176" si="33">D176+E176</f>
        <v>10756922.460000001</v>
      </c>
      <c r="G176" s="7"/>
      <c r="H176" s="7"/>
    </row>
    <row r="177" spans="1:8" ht="23.45" customHeight="1" x14ac:dyDescent="0.2">
      <c r="A177" s="58"/>
      <c r="B177" s="58"/>
      <c r="C177" s="48" t="s">
        <v>6</v>
      </c>
      <c r="D177" s="71">
        <v>4723700</v>
      </c>
      <c r="E177" s="57">
        <f>786623.16+5246599.3</f>
        <v>6033222.46</v>
      </c>
      <c r="F177" s="57">
        <f t="shared" ref="F177" si="34">D177+E177</f>
        <v>10756922.460000001</v>
      </c>
      <c r="G177" s="7"/>
      <c r="H177" s="7"/>
    </row>
    <row r="178" spans="1:8" ht="26.45" customHeight="1" x14ac:dyDescent="0.2">
      <c r="A178" s="69" t="s">
        <v>140</v>
      </c>
      <c r="B178" s="69" t="s">
        <v>141</v>
      </c>
      <c r="C178" s="85" t="s">
        <v>106</v>
      </c>
      <c r="D178" s="47">
        <v>140000</v>
      </c>
      <c r="E178" s="45">
        <f>E179</f>
        <v>271200</v>
      </c>
      <c r="F178" s="45">
        <f t="shared" si="29"/>
        <v>411200</v>
      </c>
      <c r="G178" s="7"/>
      <c r="H178" s="7"/>
    </row>
    <row r="179" spans="1:8" ht="145.15" customHeight="1" x14ac:dyDescent="0.2">
      <c r="A179" s="73" t="s">
        <v>142</v>
      </c>
      <c r="B179" s="73" t="s">
        <v>115</v>
      </c>
      <c r="C179" s="98" t="s">
        <v>116</v>
      </c>
      <c r="D179" s="71">
        <v>140000</v>
      </c>
      <c r="E179" s="57">
        <f>E180</f>
        <v>271200</v>
      </c>
      <c r="F179" s="57">
        <f t="shared" si="29"/>
        <v>411200</v>
      </c>
      <c r="G179" s="7"/>
      <c r="H179" s="7"/>
    </row>
    <row r="180" spans="1:8" ht="23.25" customHeight="1" x14ac:dyDescent="0.2">
      <c r="A180" s="58"/>
      <c r="B180" s="58"/>
      <c r="C180" s="48" t="s">
        <v>17</v>
      </c>
      <c r="D180" s="71">
        <v>0</v>
      </c>
      <c r="E180" s="57">
        <f>271200</f>
        <v>271200</v>
      </c>
      <c r="F180" s="57">
        <f t="shared" si="29"/>
        <v>271200</v>
      </c>
      <c r="G180" s="7"/>
      <c r="H180" s="7"/>
    </row>
    <row r="181" spans="1:8" ht="34.9" customHeight="1" x14ac:dyDescent="0.2">
      <c r="A181" s="69" t="s">
        <v>171</v>
      </c>
      <c r="B181" s="69" t="s">
        <v>151</v>
      </c>
      <c r="C181" s="85" t="s">
        <v>152</v>
      </c>
      <c r="D181" s="47">
        <v>27685000</v>
      </c>
      <c r="E181" s="45">
        <f>E182</f>
        <v>1965700</v>
      </c>
      <c r="F181" s="45">
        <f t="shared" si="29"/>
        <v>29650700</v>
      </c>
      <c r="G181" s="7"/>
      <c r="H181" s="7"/>
    </row>
    <row r="182" spans="1:8" ht="23.25" customHeight="1" x14ac:dyDescent="0.2">
      <c r="A182" s="58"/>
      <c r="B182" s="58"/>
      <c r="C182" s="48" t="s">
        <v>17</v>
      </c>
      <c r="D182" s="71">
        <v>0</v>
      </c>
      <c r="E182" s="57">
        <f>1965700</f>
        <v>1965700</v>
      </c>
      <c r="F182" s="57">
        <f t="shared" si="29"/>
        <v>1965700</v>
      </c>
      <c r="G182" s="7"/>
      <c r="H182" s="7"/>
    </row>
    <row r="183" spans="1:8" ht="56.25" customHeight="1" x14ac:dyDescent="0.2">
      <c r="A183" s="79">
        <v>1600000</v>
      </c>
      <c r="B183" s="27"/>
      <c r="C183" s="50" t="s">
        <v>16</v>
      </c>
      <c r="D183" s="30">
        <f>D184</f>
        <v>10380210</v>
      </c>
      <c r="E183" s="30">
        <f>E184</f>
        <v>7664434.1399999997</v>
      </c>
      <c r="F183" s="30">
        <f t="shared" si="29"/>
        <v>18044644.140000001</v>
      </c>
      <c r="G183" s="7"/>
      <c r="H183" s="7"/>
    </row>
    <row r="184" spans="1:8" ht="56.25" customHeight="1" x14ac:dyDescent="0.2">
      <c r="A184" s="79">
        <v>1610000</v>
      </c>
      <c r="B184" s="50"/>
      <c r="C184" s="50" t="s">
        <v>16</v>
      </c>
      <c r="D184" s="30">
        <v>10380210</v>
      </c>
      <c r="E184" s="30">
        <f>E186+E188+E190</f>
        <v>7664434.1399999997</v>
      </c>
      <c r="F184" s="30">
        <f t="shared" si="29"/>
        <v>18044644.140000001</v>
      </c>
      <c r="G184" s="7"/>
      <c r="H184" s="7"/>
    </row>
    <row r="185" spans="1:8" ht="21" customHeight="1" x14ac:dyDescent="0.2">
      <c r="A185" s="80"/>
      <c r="B185" s="70"/>
      <c r="C185" s="70" t="s">
        <v>6</v>
      </c>
      <c r="D185" s="46">
        <v>6420210</v>
      </c>
      <c r="E185" s="46">
        <f>E189</f>
        <v>25000</v>
      </c>
      <c r="F185" s="46">
        <f t="shared" ref="F185" si="35">D185+E185</f>
        <v>6445210</v>
      </c>
      <c r="G185" s="7"/>
      <c r="H185" s="7"/>
    </row>
    <row r="186" spans="1:8" ht="21" customHeight="1" x14ac:dyDescent="0.2">
      <c r="A186" s="69" t="s">
        <v>118</v>
      </c>
      <c r="B186" s="69" t="s">
        <v>119</v>
      </c>
      <c r="C186" s="85" t="s">
        <v>117</v>
      </c>
      <c r="D186" s="47">
        <v>0</v>
      </c>
      <c r="E186" s="45">
        <f>E187</f>
        <v>7568200</v>
      </c>
      <c r="F186" s="45">
        <f t="shared" ref="F186:F229" si="36">D186+E186</f>
        <v>7568200</v>
      </c>
      <c r="G186" s="7"/>
      <c r="H186" s="2"/>
    </row>
    <row r="187" spans="1:8" ht="19.899999999999999" customHeight="1" x14ac:dyDescent="0.2">
      <c r="A187" s="58"/>
      <c r="B187" s="58"/>
      <c r="C187" s="48" t="s">
        <v>22</v>
      </c>
      <c r="D187" s="71">
        <v>0</v>
      </c>
      <c r="E187" s="57">
        <f>7568200</f>
        <v>7568200</v>
      </c>
      <c r="F187" s="57">
        <f t="shared" si="36"/>
        <v>7568200</v>
      </c>
      <c r="G187" s="7"/>
      <c r="H187" s="2"/>
    </row>
    <row r="188" spans="1:8" ht="88.15" customHeight="1" x14ac:dyDescent="0.2">
      <c r="A188" s="69" t="s">
        <v>120</v>
      </c>
      <c r="B188" s="69" t="s">
        <v>121</v>
      </c>
      <c r="C188" s="49" t="s">
        <v>122</v>
      </c>
      <c r="D188" s="47">
        <v>0</v>
      </c>
      <c r="E188" s="45">
        <f>E189</f>
        <v>25000</v>
      </c>
      <c r="F188" s="45">
        <f t="shared" si="36"/>
        <v>25000</v>
      </c>
      <c r="G188" s="7"/>
      <c r="H188" s="2"/>
    </row>
    <row r="189" spans="1:8" ht="24.75" customHeight="1" x14ac:dyDescent="0.2">
      <c r="A189" s="58"/>
      <c r="B189" s="58"/>
      <c r="C189" s="48" t="s">
        <v>6</v>
      </c>
      <c r="D189" s="71">
        <v>0</v>
      </c>
      <c r="E189" s="57">
        <f>25000</f>
        <v>25000</v>
      </c>
      <c r="F189" s="57">
        <f t="shared" si="36"/>
        <v>25000</v>
      </c>
      <c r="G189" s="7" t="s">
        <v>123</v>
      </c>
      <c r="H189" s="2"/>
    </row>
    <row r="190" spans="1:8" ht="24.75" customHeight="1" x14ac:dyDescent="0.2">
      <c r="A190" s="69">
        <v>1617690</v>
      </c>
      <c r="B190" s="69">
        <v>7690</v>
      </c>
      <c r="C190" s="49" t="s">
        <v>106</v>
      </c>
      <c r="D190" s="59">
        <v>3960000</v>
      </c>
      <c r="E190" s="59">
        <f>E191</f>
        <v>71234.14</v>
      </c>
      <c r="F190" s="45">
        <f t="shared" si="36"/>
        <v>4031234.14</v>
      </c>
      <c r="G190" s="7"/>
      <c r="H190" s="2"/>
    </row>
    <row r="191" spans="1:8" ht="132.6" customHeight="1" x14ac:dyDescent="0.2">
      <c r="A191" s="58">
        <v>1617691</v>
      </c>
      <c r="B191" s="58">
        <v>7691</v>
      </c>
      <c r="C191" s="48" t="s">
        <v>116</v>
      </c>
      <c r="D191" s="72">
        <v>3960000</v>
      </c>
      <c r="E191" s="72">
        <f>E192</f>
        <v>71234.14</v>
      </c>
      <c r="F191" s="57">
        <f t="shared" si="36"/>
        <v>4031234.14</v>
      </c>
      <c r="G191" s="7"/>
      <c r="H191" s="2"/>
    </row>
    <row r="192" spans="1:8" ht="24.75" customHeight="1" x14ac:dyDescent="0.2">
      <c r="A192" s="102"/>
      <c r="B192" s="103"/>
      <c r="C192" s="104" t="s">
        <v>22</v>
      </c>
      <c r="D192" s="72">
        <v>1584000</v>
      </c>
      <c r="E192" s="72">
        <f>71234.14</f>
        <v>71234.14</v>
      </c>
      <c r="F192" s="57">
        <f t="shared" si="36"/>
        <v>1655234.14</v>
      </c>
      <c r="G192" s="7"/>
      <c r="H192" s="2"/>
    </row>
    <row r="193" spans="1:8" ht="42" customHeight="1" x14ac:dyDescent="0.2">
      <c r="A193" s="79">
        <v>1900000</v>
      </c>
      <c r="B193" s="27"/>
      <c r="C193" s="50" t="s">
        <v>26</v>
      </c>
      <c r="D193" s="30">
        <f>D194</f>
        <v>3000000</v>
      </c>
      <c r="E193" s="30">
        <f>E194</f>
        <v>51839000</v>
      </c>
      <c r="F193" s="30">
        <f t="shared" si="36"/>
        <v>54839000</v>
      </c>
      <c r="G193" s="7"/>
      <c r="H193" s="2"/>
    </row>
    <row r="194" spans="1:8" ht="42" customHeight="1" x14ac:dyDescent="0.2">
      <c r="A194" s="79">
        <v>1910000</v>
      </c>
      <c r="B194" s="50"/>
      <c r="C194" s="50" t="s">
        <v>26</v>
      </c>
      <c r="D194" s="30">
        <v>3000000</v>
      </c>
      <c r="E194" s="30">
        <f>E196+E199+E201</f>
        <v>51839000</v>
      </c>
      <c r="F194" s="30">
        <f t="shared" si="36"/>
        <v>54839000</v>
      </c>
      <c r="G194" s="7"/>
      <c r="H194" s="2"/>
    </row>
    <row r="195" spans="1:8" ht="19.5" customHeight="1" x14ac:dyDescent="0.2">
      <c r="A195" s="80"/>
      <c r="B195" s="70"/>
      <c r="C195" s="70" t="s">
        <v>6</v>
      </c>
      <c r="D195" s="46">
        <v>3000000</v>
      </c>
      <c r="E195" s="46">
        <f>E198+E200+E203</f>
        <v>51839000</v>
      </c>
      <c r="F195" s="46">
        <f t="shared" si="36"/>
        <v>54839000</v>
      </c>
      <c r="G195" s="7"/>
      <c r="H195" s="2"/>
    </row>
    <row r="196" spans="1:8" ht="33.6" customHeight="1" x14ac:dyDescent="0.2">
      <c r="A196" s="69" t="s">
        <v>163</v>
      </c>
      <c r="B196" s="69">
        <v>7420</v>
      </c>
      <c r="C196" s="85" t="s">
        <v>161</v>
      </c>
      <c r="D196" s="45">
        <v>0</v>
      </c>
      <c r="E196" s="45">
        <f>E197</f>
        <v>11536000</v>
      </c>
      <c r="F196" s="45">
        <f t="shared" ref="F196:F198" si="37">D196+E196</f>
        <v>11536000</v>
      </c>
      <c r="G196" s="7"/>
      <c r="H196" s="2"/>
    </row>
    <row r="197" spans="1:8" ht="37.15" customHeight="1" x14ac:dyDescent="0.2">
      <c r="A197" s="73" t="s">
        <v>164</v>
      </c>
      <c r="B197" s="73">
        <v>7426</v>
      </c>
      <c r="C197" s="98" t="s">
        <v>162</v>
      </c>
      <c r="D197" s="71">
        <v>0</v>
      </c>
      <c r="E197" s="57">
        <f>E198</f>
        <v>11536000</v>
      </c>
      <c r="F197" s="57">
        <f t="shared" ref="F197" si="38">D197+E197</f>
        <v>11536000</v>
      </c>
      <c r="G197" s="7"/>
      <c r="H197" s="2"/>
    </row>
    <row r="198" spans="1:8" ht="19.5" customHeight="1" x14ac:dyDescent="0.2">
      <c r="A198" s="58"/>
      <c r="B198" s="58"/>
      <c r="C198" s="48" t="s">
        <v>6</v>
      </c>
      <c r="D198" s="71">
        <v>0</v>
      </c>
      <c r="E198" s="57">
        <f>11536000</f>
        <v>11536000</v>
      </c>
      <c r="F198" s="57">
        <f t="shared" si="37"/>
        <v>11536000</v>
      </c>
      <c r="G198" s="7"/>
      <c r="H198" s="2"/>
    </row>
    <row r="199" spans="1:8" ht="35.25" customHeight="1" x14ac:dyDescent="0.2">
      <c r="A199" s="69">
        <v>1917670</v>
      </c>
      <c r="B199" s="69">
        <v>7670</v>
      </c>
      <c r="C199" s="85" t="s">
        <v>25</v>
      </c>
      <c r="D199" s="45">
        <v>3000000</v>
      </c>
      <c r="E199" s="45">
        <f>E200</f>
        <v>6520000</v>
      </c>
      <c r="F199" s="45">
        <f t="shared" si="36"/>
        <v>9520000</v>
      </c>
      <c r="G199" s="7"/>
      <c r="H199" s="2"/>
    </row>
    <row r="200" spans="1:8" ht="19.5" customHeight="1" x14ac:dyDescent="0.2">
      <c r="A200" s="58"/>
      <c r="B200" s="58"/>
      <c r="C200" s="48" t="s">
        <v>6</v>
      </c>
      <c r="D200" s="71">
        <v>3000000</v>
      </c>
      <c r="E200" s="57">
        <f>6520000</f>
        <v>6520000</v>
      </c>
      <c r="F200" s="57">
        <f t="shared" ref="F200:F223" si="39">D200+E200</f>
        <v>9520000</v>
      </c>
      <c r="G200" s="7"/>
      <c r="H200" s="2"/>
    </row>
    <row r="201" spans="1:8" ht="19.5" customHeight="1" x14ac:dyDescent="0.2">
      <c r="A201" s="69" t="s">
        <v>165</v>
      </c>
      <c r="B201" s="69">
        <v>7690</v>
      </c>
      <c r="C201" s="85" t="s">
        <v>106</v>
      </c>
      <c r="D201" s="45">
        <v>0</v>
      </c>
      <c r="E201" s="45">
        <f>E202</f>
        <v>33783000</v>
      </c>
      <c r="F201" s="45">
        <f t="shared" ref="F201" si="40">D201+E201</f>
        <v>33783000</v>
      </c>
      <c r="G201" s="7"/>
      <c r="H201" s="2"/>
    </row>
    <row r="202" spans="1:8" ht="31.15" customHeight="1" x14ac:dyDescent="0.2">
      <c r="A202" s="73" t="s">
        <v>166</v>
      </c>
      <c r="B202" s="73">
        <v>7693</v>
      </c>
      <c r="C202" s="104" t="s">
        <v>24</v>
      </c>
      <c r="D202" s="57">
        <v>0</v>
      </c>
      <c r="E202" s="57">
        <f>E203</f>
        <v>33783000</v>
      </c>
      <c r="F202" s="57">
        <f t="shared" si="39"/>
        <v>33783000</v>
      </c>
      <c r="G202" s="7"/>
      <c r="H202" s="2"/>
    </row>
    <row r="203" spans="1:8" ht="19.5" customHeight="1" x14ac:dyDescent="0.2">
      <c r="A203" s="102"/>
      <c r="B203" s="103"/>
      <c r="C203" s="48" t="s">
        <v>17</v>
      </c>
      <c r="D203" s="71">
        <v>0</v>
      </c>
      <c r="E203" s="57">
        <f>33783000</f>
        <v>33783000</v>
      </c>
      <c r="F203" s="57">
        <f t="shared" si="39"/>
        <v>33783000</v>
      </c>
      <c r="G203" s="7"/>
      <c r="H203" s="2"/>
    </row>
    <row r="204" spans="1:8" ht="34.9" customHeight="1" x14ac:dyDescent="0.2">
      <c r="A204" s="79">
        <v>2800000</v>
      </c>
      <c r="B204" s="27"/>
      <c r="C204" s="50" t="s">
        <v>174</v>
      </c>
      <c r="D204" s="30">
        <f>D205</f>
        <v>1323900</v>
      </c>
      <c r="E204" s="30">
        <f>E205</f>
        <v>6532000</v>
      </c>
      <c r="F204" s="30">
        <f t="shared" si="39"/>
        <v>7855900</v>
      </c>
      <c r="G204" s="7"/>
      <c r="H204" s="2"/>
    </row>
    <row r="205" spans="1:8" ht="37.15" customHeight="1" x14ac:dyDescent="0.2">
      <c r="A205" s="79">
        <v>2810000</v>
      </c>
      <c r="B205" s="50"/>
      <c r="C205" s="50" t="s">
        <v>174</v>
      </c>
      <c r="D205" s="30">
        <v>1323900</v>
      </c>
      <c r="E205" s="30">
        <f>E207+E211</f>
        <v>6532000</v>
      </c>
      <c r="F205" s="30">
        <f t="shared" si="39"/>
        <v>7855900</v>
      </c>
      <c r="G205" s="7"/>
      <c r="H205" s="2"/>
    </row>
    <row r="206" spans="1:8" ht="19.5" customHeight="1" x14ac:dyDescent="0.2">
      <c r="A206" s="80"/>
      <c r="B206" s="70"/>
      <c r="C206" s="70" t="s">
        <v>6</v>
      </c>
      <c r="D206" s="46">
        <v>0</v>
      </c>
      <c r="E206" s="46">
        <f>E212</f>
        <v>332000</v>
      </c>
      <c r="F206" s="46">
        <f t="shared" si="39"/>
        <v>332000</v>
      </c>
      <c r="G206" s="7"/>
      <c r="H206" s="2"/>
    </row>
    <row r="207" spans="1:8" ht="34.15" customHeight="1" x14ac:dyDescent="0.2">
      <c r="A207" s="69" t="s">
        <v>175</v>
      </c>
      <c r="B207" s="69" t="s">
        <v>151</v>
      </c>
      <c r="C207" s="85" t="s">
        <v>152</v>
      </c>
      <c r="D207" s="47">
        <v>1323900</v>
      </c>
      <c r="E207" s="45">
        <f>E209+E210</f>
        <v>6200000</v>
      </c>
      <c r="F207" s="45">
        <f t="shared" si="39"/>
        <v>7523900</v>
      </c>
      <c r="G207" s="7"/>
      <c r="H207" s="2"/>
    </row>
    <row r="208" spans="1:8" ht="19.899999999999999" customHeight="1" x14ac:dyDescent="0.2">
      <c r="A208" s="69"/>
      <c r="B208" s="69"/>
      <c r="C208" s="48" t="s">
        <v>179</v>
      </c>
      <c r="D208" s="47"/>
      <c r="E208" s="45"/>
      <c r="F208" s="45"/>
      <c r="G208" s="7"/>
      <c r="H208" s="2"/>
    </row>
    <row r="209" spans="1:9" ht="19.5" customHeight="1" x14ac:dyDescent="0.2">
      <c r="A209" s="58"/>
      <c r="B209" s="58"/>
      <c r="C209" s="48" t="s">
        <v>177</v>
      </c>
      <c r="D209" s="71">
        <v>1223900</v>
      </c>
      <c r="E209" s="57">
        <f>2690000+10000</f>
        <v>2700000</v>
      </c>
      <c r="F209" s="57">
        <f t="shared" si="39"/>
        <v>3923900</v>
      </c>
      <c r="G209" s="7"/>
      <c r="H209" s="2"/>
    </row>
    <row r="210" spans="1:9" ht="19.5" customHeight="1" x14ac:dyDescent="0.2">
      <c r="A210" s="102"/>
      <c r="B210" s="103"/>
      <c r="C210" s="104" t="s">
        <v>176</v>
      </c>
      <c r="D210" s="72">
        <v>100000</v>
      </c>
      <c r="E210" s="72">
        <v>3500000</v>
      </c>
      <c r="F210" s="57">
        <f t="shared" si="39"/>
        <v>3600000</v>
      </c>
      <c r="G210" s="7"/>
      <c r="H210" s="2"/>
    </row>
    <row r="211" spans="1:9" ht="73.150000000000006" customHeight="1" x14ac:dyDescent="0.2">
      <c r="A211" s="78" t="s">
        <v>178</v>
      </c>
      <c r="B211" s="74" t="s">
        <v>154</v>
      </c>
      <c r="C211" s="101" t="s">
        <v>153</v>
      </c>
      <c r="D211" s="59">
        <v>0</v>
      </c>
      <c r="E211" s="59">
        <f>E212</f>
        <v>332000</v>
      </c>
      <c r="F211" s="45">
        <f>D211+E211</f>
        <v>332000</v>
      </c>
      <c r="G211" s="7"/>
      <c r="H211" s="2"/>
    </row>
    <row r="212" spans="1:9" ht="19.5" customHeight="1" x14ac:dyDescent="0.2">
      <c r="A212" s="58"/>
      <c r="B212" s="58"/>
      <c r="C212" s="48" t="s">
        <v>6</v>
      </c>
      <c r="D212" s="71">
        <v>0</v>
      </c>
      <c r="E212" s="57">
        <f>332000</f>
        <v>332000</v>
      </c>
      <c r="F212" s="57">
        <f t="shared" ref="F212" si="41">D212+E212</f>
        <v>332000</v>
      </c>
      <c r="G212" s="7"/>
      <c r="H212" s="2"/>
    </row>
    <row r="213" spans="1:9" ht="50.45" customHeight="1" x14ac:dyDescent="0.2">
      <c r="A213" s="79">
        <v>3100000</v>
      </c>
      <c r="B213" s="27"/>
      <c r="C213" s="50" t="s">
        <v>143</v>
      </c>
      <c r="D213" s="30">
        <f>D214</f>
        <v>2800000</v>
      </c>
      <c r="E213" s="30">
        <f>E214</f>
        <v>1000000</v>
      </c>
      <c r="F213" s="30">
        <f t="shared" si="39"/>
        <v>3800000</v>
      </c>
      <c r="G213" s="7"/>
      <c r="H213" s="2"/>
    </row>
    <row r="214" spans="1:9" ht="54" customHeight="1" x14ac:dyDescent="0.2">
      <c r="A214" s="79">
        <v>3110000</v>
      </c>
      <c r="B214" s="50"/>
      <c r="C214" s="50" t="s">
        <v>143</v>
      </c>
      <c r="D214" s="30">
        <v>2800000</v>
      </c>
      <c r="E214" s="30">
        <f>E215</f>
        <v>1000000</v>
      </c>
      <c r="F214" s="30">
        <f t="shared" si="39"/>
        <v>3800000</v>
      </c>
      <c r="G214" s="7"/>
      <c r="H214" s="2"/>
    </row>
    <row r="215" spans="1:9" ht="23.45" customHeight="1" x14ac:dyDescent="0.2">
      <c r="A215" s="69" t="s">
        <v>140</v>
      </c>
      <c r="B215" s="69" t="s">
        <v>141</v>
      </c>
      <c r="C215" s="85" t="s">
        <v>106</v>
      </c>
      <c r="D215" s="47">
        <v>2253462</v>
      </c>
      <c r="E215" s="45">
        <f>E216</f>
        <v>1000000</v>
      </c>
      <c r="F215" s="45">
        <f t="shared" si="39"/>
        <v>3253462</v>
      </c>
      <c r="G215" s="7"/>
      <c r="H215" s="2"/>
    </row>
    <row r="216" spans="1:9" ht="147" customHeight="1" x14ac:dyDescent="0.2">
      <c r="A216" s="73" t="s">
        <v>142</v>
      </c>
      <c r="B216" s="73" t="s">
        <v>115</v>
      </c>
      <c r="C216" s="98" t="s">
        <v>116</v>
      </c>
      <c r="D216" s="71">
        <v>0</v>
      </c>
      <c r="E216" s="57">
        <f>E217</f>
        <v>1000000</v>
      </c>
      <c r="F216" s="57">
        <f t="shared" si="39"/>
        <v>1000000</v>
      </c>
      <c r="G216" s="7"/>
      <c r="H216" s="2"/>
    </row>
    <row r="217" spans="1:9" ht="26.45" customHeight="1" x14ac:dyDescent="0.2">
      <c r="A217" s="58"/>
      <c r="B217" s="58"/>
      <c r="C217" s="48" t="s">
        <v>22</v>
      </c>
      <c r="D217" s="71">
        <v>0</v>
      </c>
      <c r="E217" s="57">
        <f>1000000</f>
        <v>1000000</v>
      </c>
      <c r="F217" s="57">
        <f t="shared" si="39"/>
        <v>1000000</v>
      </c>
      <c r="G217" s="7"/>
      <c r="H217" s="2"/>
      <c r="I217" s="76"/>
    </row>
    <row r="218" spans="1:9" ht="56.45" customHeight="1" x14ac:dyDescent="0.2">
      <c r="A218" s="79">
        <v>3400000</v>
      </c>
      <c r="B218" s="27"/>
      <c r="C218" s="50" t="s">
        <v>183</v>
      </c>
      <c r="D218" s="30">
        <f>D219</f>
        <v>0</v>
      </c>
      <c r="E218" s="30">
        <f>E219</f>
        <v>415000</v>
      </c>
      <c r="F218" s="30">
        <f t="shared" si="39"/>
        <v>415000</v>
      </c>
      <c r="G218" s="7"/>
      <c r="H218" s="2"/>
      <c r="I218" s="76"/>
    </row>
    <row r="219" spans="1:9" ht="61.15" customHeight="1" x14ac:dyDescent="0.2">
      <c r="A219" s="79">
        <v>3410000</v>
      </c>
      <c r="B219" s="50"/>
      <c r="C219" s="50" t="s">
        <v>183</v>
      </c>
      <c r="D219" s="30">
        <v>0</v>
      </c>
      <c r="E219" s="30">
        <f>E221</f>
        <v>415000</v>
      </c>
      <c r="F219" s="30">
        <f t="shared" si="39"/>
        <v>415000</v>
      </c>
      <c r="G219" s="7"/>
      <c r="H219" s="2"/>
      <c r="I219" s="76"/>
    </row>
    <row r="220" spans="1:9" ht="24" customHeight="1" x14ac:dyDescent="0.2">
      <c r="A220" s="80"/>
      <c r="B220" s="70"/>
      <c r="C220" s="70" t="s">
        <v>6</v>
      </c>
      <c r="D220" s="46">
        <v>0</v>
      </c>
      <c r="E220" s="46">
        <f>E222</f>
        <v>415000</v>
      </c>
      <c r="F220" s="46">
        <f t="shared" ref="F220" si="42">D220+E220</f>
        <v>415000</v>
      </c>
      <c r="G220" s="7"/>
      <c r="H220" s="2"/>
      <c r="I220" s="76"/>
    </row>
    <row r="221" spans="1:9" ht="33" customHeight="1" x14ac:dyDescent="0.2">
      <c r="A221" s="78" t="s">
        <v>184</v>
      </c>
      <c r="B221" s="74" t="s">
        <v>182</v>
      </c>
      <c r="C221" s="101" t="s">
        <v>180</v>
      </c>
      <c r="D221" s="59">
        <v>0</v>
      </c>
      <c r="E221" s="59">
        <f>E222</f>
        <v>415000</v>
      </c>
      <c r="F221" s="45">
        <f>D221+E221</f>
        <v>415000</v>
      </c>
      <c r="G221" s="7"/>
      <c r="H221" s="2"/>
      <c r="I221" s="76"/>
    </row>
    <row r="222" spans="1:9" ht="26.45" customHeight="1" thickBot="1" x14ac:dyDescent="0.25">
      <c r="A222" s="58"/>
      <c r="B222" s="58"/>
      <c r="C222" s="48" t="s">
        <v>6</v>
      </c>
      <c r="D222" s="71">
        <v>0</v>
      </c>
      <c r="E222" s="57">
        <f>415000</f>
        <v>415000</v>
      </c>
      <c r="F222" s="57">
        <f t="shared" ref="F222" si="43">D222+E222</f>
        <v>415000</v>
      </c>
      <c r="G222" s="7"/>
      <c r="H222" s="2"/>
      <c r="I222" s="76"/>
    </row>
    <row r="223" spans="1:9" ht="45.6" customHeight="1" thickBot="1" x14ac:dyDescent="0.35">
      <c r="A223" s="11"/>
      <c r="B223" s="11"/>
      <c r="C223" s="37" t="s">
        <v>28</v>
      </c>
      <c r="D223" s="43">
        <f>D17+D85</f>
        <v>7027482540</v>
      </c>
      <c r="E223" s="43">
        <f>E17+E85</f>
        <v>217129034.61000001</v>
      </c>
      <c r="F223" s="43">
        <f t="shared" si="39"/>
        <v>7244611574.6099997</v>
      </c>
      <c r="G223" s="7"/>
      <c r="H223" s="2"/>
      <c r="I223" s="76"/>
    </row>
    <row r="224" spans="1:9" ht="36" customHeight="1" thickBot="1" x14ac:dyDescent="0.35">
      <c r="A224" s="11"/>
      <c r="B224" s="64"/>
      <c r="C224" s="37" t="s">
        <v>10</v>
      </c>
      <c r="D224" s="26">
        <f>D225+D226</f>
        <v>-356712117</v>
      </c>
      <c r="E224" s="26">
        <f>E225+E226</f>
        <v>83411025.020000011</v>
      </c>
      <c r="F224" s="26">
        <f t="shared" si="36"/>
        <v>-273301091.98000002</v>
      </c>
      <c r="G224" s="7"/>
      <c r="H224" s="2"/>
      <c r="I224" s="81"/>
    </row>
    <row r="225" spans="1:12" ht="67.5" customHeight="1" thickBot="1" x14ac:dyDescent="0.35">
      <c r="A225" s="60"/>
      <c r="B225" s="60"/>
      <c r="C225" s="61" t="s">
        <v>144</v>
      </c>
      <c r="D225" s="62">
        <v>0</v>
      </c>
      <c r="E225" s="62">
        <f>E17-E16+E86-E102-2379936.67-11136693.9-E189</f>
        <v>152126769.90000001</v>
      </c>
      <c r="F225" s="62">
        <f t="shared" si="36"/>
        <v>152126769.90000001</v>
      </c>
      <c r="G225" s="7"/>
      <c r="H225" s="99"/>
      <c r="I225" s="81"/>
      <c r="J225" s="82"/>
    </row>
    <row r="226" spans="1:12" ht="75.75" customHeight="1" thickBot="1" x14ac:dyDescent="0.25">
      <c r="A226" s="22"/>
      <c r="B226" s="67"/>
      <c r="C226" s="40" t="s">
        <v>4</v>
      </c>
      <c r="D226" s="44">
        <f>-356712117</f>
        <v>-356712117</v>
      </c>
      <c r="E226" s="44">
        <f>-E229</f>
        <v>-68715744.879999995</v>
      </c>
      <c r="F226" s="44">
        <f t="shared" si="36"/>
        <v>-425427861.88</v>
      </c>
      <c r="G226" s="7"/>
      <c r="H226" s="99"/>
      <c r="I226" s="81"/>
      <c r="J226" s="7"/>
      <c r="K226" s="82"/>
    </row>
    <row r="227" spans="1:12" ht="48.75" customHeight="1" thickBot="1" x14ac:dyDescent="0.35">
      <c r="A227" s="11"/>
      <c r="B227" s="64"/>
      <c r="C227" s="37" t="s">
        <v>11</v>
      </c>
      <c r="D227" s="26">
        <f>SUM(D228:D229)</f>
        <v>356712117</v>
      </c>
      <c r="E227" s="26">
        <f>SUM(E228:E229)</f>
        <v>133218009.59</v>
      </c>
      <c r="F227" s="26">
        <f t="shared" si="36"/>
        <v>489930126.59000003</v>
      </c>
      <c r="G227" s="7"/>
      <c r="H227" s="2"/>
      <c r="I227" s="81"/>
      <c r="J227" s="7"/>
      <c r="K227" s="82"/>
    </row>
    <row r="228" spans="1:12" ht="72.75" customHeight="1" thickBot="1" x14ac:dyDescent="0.25">
      <c r="A228" s="63"/>
      <c r="B228" s="63"/>
      <c r="C228" s="61" t="s">
        <v>145</v>
      </c>
      <c r="D228" s="62">
        <v>0</v>
      </c>
      <c r="E228" s="62">
        <f>E102+E105-1935000+E123+E158+E162+11136693.9+E178+E181+E186+E188+E207+E214+E190</f>
        <v>64502264.710000001</v>
      </c>
      <c r="F228" s="62">
        <f t="shared" si="36"/>
        <v>64502264.710000001</v>
      </c>
      <c r="G228" s="7"/>
      <c r="H228" s="2"/>
      <c r="I228" s="81"/>
      <c r="J228" s="7"/>
      <c r="K228" s="81"/>
    </row>
    <row r="229" spans="1:12" ht="77.25" customHeight="1" thickBot="1" x14ac:dyDescent="0.25">
      <c r="A229" s="22"/>
      <c r="B229" s="67"/>
      <c r="C229" s="40" t="s">
        <v>5</v>
      </c>
      <c r="D229" s="44">
        <v>356712117</v>
      </c>
      <c r="E229" s="44">
        <f>E86-E102-2379936.67-11136693.9-E185</f>
        <v>68715744.879999995</v>
      </c>
      <c r="F229" s="44">
        <f t="shared" si="36"/>
        <v>425427861.88</v>
      </c>
      <c r="G229" s="7"/>
      <c r="H229" s="2"/>
      <c r="I229" s="82"/>
      <c r="J229" s="12"/>
      <c r="K229" s="82"/>
    </row>
    <row r="230" spans="1:12" ht="18.75" customHeight="1" x14ac:dyDescent="0.2">
      <c r="A230" s="23"/>
      <c r="B230" s="23"/>
      <c r="C230" s="24"/>
      <c r="D230" s="7"/>
      <c r="E230" s="7"/>
      <c r="F230" s="7"/>
      <c r="G230" s="7"/>
      <c r="H230" s="2"/>
      <c r="J230" s="7"/>
      <c r="K230" s="82"/>
    </row>
    <row r="231" spans="1:12" ht="95.25" customHeight="1" x14ac:dyDescent="0.35">
      <c r="A231" s="106" t="s">
        <v>31</v>
      </c>
      <c r="B231" s="106"/>
      <c r="C231" s="106"/>
      <c r="D231" s="10"/>
      <c r="E231" s="55" t="s">
        <v>146</v>
      </c>
      <c r="F231" s="12"/>
      <c r="G231" s="12"/>
      <c r="H231" s="99"/>
      <c r="J231" s="31"/>
      <c r="K231" s="31"/>
      <c r="L231" s="31"/>
    </row>
    <row r="232" spans="1:12" ht="23.25" customHeight="1" x14ac:dyDescent="0.35">
      <c r="A232" s="15"/>
      <c r="B232" s="15"/>
      <c r="C232" s="13"/>
      <c r="D232" s="10"/>
      <c r="E232" s="14"/>
      <c r="F232" s="12"/>
      <c r="G232" s="12"/>
      <c r="H232" s="99"/>
      <c r="J232" s="31"/>
      <c r="K232" s="31"/>
      <c r="L232" s="31"/>
    </row>
    <row r="233" spans="1:12" ht="20.25" x14ac:dyDescent="0.3">
      <c r="A233" s="10"/>
      <c r="B233" s="10"/>
      <c r="E233" s="10"/>
      <c r="F233" s="5"/>
      <c r="G233" s="5"/>
      <c r="H233" s="2"/>
      <c r="J233" s="31"/>
      <c r="K233" s="31"/>
      <c r="L233" s="31"/>
    </row>
    <row r="234" spans="1:12" ht="18.75" x14ac:dyDescent="0.3">
      <c r="A234" s="8"/>
      <c r="B234" s="8"/>
      <c r="C234" s="9"/>
      <c r="D234" s="5"/>
      <c r="E234" s="5"/>
      <c r="F234" s="5"/>
      <c r="G234" s="5"/>
      <c r="H234" s="2"/>
    </row>
    <row r="235" spans="1:12" ht="18.75" x14ac:dyDescent="0.3">
      <c r="A235" s="8"/>
      <c r="B235" s="8"/>
      <c r="C235" s="9"/>
      <c r="D235" s="5"/>
      <c r="E235" s="25"/>
      <c r="F235" s="5"/>
      <c r="G235" s="5"/>
      <c r="H235" s="2"/>
    </row>
    <row r="236" spans="1:12" ht="18.75" x14ac:dyDescent="0.3">
      <c r="A236" s="8"/>
      <c r="B236" s="8"/>
      <c r="C236" s="9"/>
      <c r="D236" s="5"/>
      <c r="E236" s="5"/>
      <c r="F236" s="5"/>
      <c r="G236" s="5"/>
      <c r="H236" s="2"/>
      <c r="I236" s="33"/>
      <c r="J236" s="33"/>
      <c r="K236" s="33"/>
    </row>
    <row r="237" spans="1:12" ht="18.75" x14ac:dyDescent="0.3">
      <c r="A237" s="8"/>
      <c r="B237" s="8"/>
      <c r="C237" s="9"/>
      <c r="D237" s="5"/>
      <c r="E237" s="5"/>
      <c r="F237" s="5"/>
      <c r="G237" s="5"/>
      <c r="H237" s="2"/>
    </row>
    <row r="238" spans="1:12" ht="18.75" x14ac:dyDescent="0.3">
      <c r="A238" s="8"/>
      <c r="B238" s="8"/>
      <c r="C238" s="9"/>
      <c r="D238" s="5"/>
      <c r="E238" s="5"/>
      <c r="F238" s="5"/>
      <c r="G238" s="5"/>
      <c r="H238" s="2"/>
    </row>
    <row r="239" spans="1:12" ht="18.75" x14ac:dyDescent="0.3">
      <c r="A239" s="8"/>
      <c r="B239" s="8"/>
      <c r="C239" s="9"/>
      <c r="D239" s="5"/>
      <c r="E239" s="5"/>
      <c r="F239" s="5"/>
      <c r="G239" s="5"/>
      <c r="H239" s="2"/>
    </row>
    <row r="240" spans="1:12" ht="18.75" x14ac:dyDescent="0.3">
      <c r="A240" s="8"/>
      <c r="B240" s="8"/>
      <c r="C240" s="9"/>
      <c r="D240" s="5"/>
      <c r="E240" s="5"/>
      <c r="F240" s="5"/>
      <c r="G240" s="5"/>
      <c r="H240" s="2"/>
    </row>
    <row r="241" spans="1:8" ht="18.75" x14ac:dyDescent="0.3">
      <c r="A241" s="8"/>
      <c r="B241" s="8"/>
      <c r="C241" s="9"/>
      <c r="D241" s="5"/>
      <c r="E241" s="5"/>
      <c r="F241" s="5"/>
      <c r="G241" s="5"/>
      <c r="H241" s="2"/>
    </row>
    <row r="242" spans="1:8" ht="18.75" x14ac:dyDescent="0.3">
      <c r="A242" s="8"/>
      <c r="B242" s="8"/>
      <c r="C242" s="9"/>
      <c r="D242" s="5"/>
      <c r="E242" s="5"/>
      <c r="F242" s="5"/>
      <c r="G242" s="5"/>
      <c r="H242" s="2"/>
    </row>
    <row r="243" spans="1:8" ht="18.75" x14ac:dyDescent="0.3">
      <c r="A243" s="8"/>
      <c r="B243" s="8"/>
      <c r="C243" s="9"/>
      <c r="D243" s="5"/>
      <c r="E243" s="5"/>
      <c r="F243" s="5"/>
      <c r="G243" s="5"/>
      <c r="H243" s="2"/>
    </row>
    <row r="244" spans="1:8" ht="18.75" x14ac:dyDescent="0.3">
      <c r="A244" s="8"/>
      <c r="B244" s="8"/>
      <c r="C244" s="9"/>
      <c r="D244" s="5"/>
      <c r="E244" s="5"/>
      <c r="F244" s="5"/>
      <c r="G244" s="5"/>
      <c r="H244" s="2"/>
    </row>
    <row r="245" spans="1:8" x14ac:dyDescent="0.2">
      <c r="A245" s="3"/>
      <c r="B245" s="3"/>
      <c r="C245" s="2"/>
      <c r="H245" s="2"/>
    </row>
    <row r="246" spans="1:8" x14ac:dyDescent="0.2">
      <c r="A246" s="3"/>
      <c r="B246" s="3"/>
      <c r="C246" s="2"/>
      <c r="H246" s="2"/>
    </row>
    <row r="247" spans="1:8" x14ac:dyDescent="0.2">
      <c r="A247" s="3"/>
      <c r="B247" s="3"/>
      <c r="C247" s="2"/>
      <c r="H247" s="2"/>
    </row>
    <row r="248" spans="1:8" x14ac:dyDescent="0.2">
      <c r="A248" s="3"/>
      <c r="B248" s="3"/>
      <c r="C248" s="2"/>
      <c r="H248" s="2"/>
    </row>
    <row r="249" spans="1:8" x14ac:dyDescent="0.2">
      <c r="A249" s="3"/>
      <c r="B249" s="3"/>
      <c r="C249" s="2"/>
      <c r="H249" s="2"/>
    </row>
    <row r="250" spans="1:8" x14ac:dyDescent="0.2">
      <c r="A250" s="3"/>
      <c r="B250" s="3"/>
      <c r="C250" s="2"/>
      <c r="H250" s="2"/>
    </row>
    <row r="251" spans="1:8" x14ac:dyDescent="0.2">
      <c r="A251" s="3"/>
      <c r="B251" s="3"/>
      <c r="C251" s="2"/>
      <c r="H251" s="2"/>
    </row>
    <row r="252" spans="1:8" x14ac:dyDescent="0.2">
      <c r="A252" s="3"/>
      <c r="B252" s="3"/>
      <c r="C252" s="2"/>
      <c r="H252" s="2"/>
    </row>
    <row r="253" spans="1:8" x14ac:dyDescent="0.2">
      <c r="A253" s="3"/>
      <c r="B253" s="3"/>
      <c r="C253" s="2"/>
      <c r="H253" s="2"/>
    </row>
    <row r="254" spans="1:8" x14ac:dyDescent="0.2">
      <c r="A254" s="3"/>
      <c r="B254" s="3"/>
      <c r="C254" s="2"/>
      <c r="H254" s="2"/>
    </row>
    <row r="255" spans="1:8" x14ac:dyDescent="0.2">
      <c r="A255" s="3"/>
      <c r="B255" s="3"/>
      <c r="C255" s="2"/>
      <c r="H255" s="2"/>
    </row>
    <row r="256" spans="1:8" x14ac:dyDescent="0.2">
      <c r="A256" s="3"/>
      <c r="B256" s="3"/>
      <c r="C256" s="2"/>
      <c r="H256" s="2"/>
    </row>
    <row r="257" spans="1:8" x14ac:dyDescent="0.2">
      <c r="A257" s="3"/>
      <c r="B257" s="3"/>
      <c r="C257" s="2"/>
      <c r="H257" s="2"/>
    </row>
    <row r="258" spans="1:8" x14ac:dyDescent="0.2">
      <c r="A258" s="3"/>
      <c r="B258" s="3"/>
      <c r="C258" s="2"/>
      <c r="H258" s="2"/>
    </row>
    <row r="259" spans="1:8" x14ac:dyDescent="0.2">
      <c r="A259" s="3"/>
      <c r="B259" s="3"/>
      <c r="C259" s="2"/>
      <c r="H259" s="2"/>
    </row>
    <row r="260" spans="1:8" x14ac:dyDescent="0.2">
      <c r="A260" s="3"/>
      <c r="B260" s="3"/>
      <c r="C260" s="2"/>
      <c r="H260" s="2"/>
    </row>
    <row r="261" spans="1:8" x14ac:dyDescent="0.2">
      <c r="A261" s="3"/>
      <c r="B261" s="3"/>
      <c r="C261" s="2"/>
      <c r="H261" s="2"/>
    </row>
    <row r="262" spans="1:8" x14ac:dyDescent="0.2">
      <c r="A262" s="3"/>
      <c r="B262" s="3"/>
      <c r="C262" s="2"/>
      <c r="H262" s="2"/>
    </row>
    <row r="263" spans="1:8" x14ac:dyDescent="0.2">
      <c r="A263" s="3"/>
      <c r="B263" s="3"/>
      <c r="C263" s="2"/>
      <c r="H263" s="2"/>
    </row>
    <row r="264" spans="1:8" x14ac:dyDescent="0.2">
      <c r="A264" s="3"/>
      <c r="B264" s="3"/>
      <c r="C264" s="2"/>
      <c r="H264" s="2"/>
    </row>
    <row r="265" spans="1:8" x14ac:dyDescent="0.2">
      <c r="A265" s="3"/>
      <c r="B265" s="3"/>
      <c r="C265" s="2"/>
      <c r="H265" s="2"/>
    </row>
    <row r="266" spans="1:8" x14ac:dyDescent="0.2">
      <c r="A266" s="3"/>
      <c r="B266" s="3"/>
      <c r="C266" s="2"/>
      <c r="H266" s="2"/>
    </row>
    <row r="267" spans="1:8" x14ac:dyDescent="0.2">
      <c r="A267" s="3"/>
      <c r="B267" s="3"/>
      <c r="C267" s="2"/>
      <c r="H267" s="2"/>
    </row>
    <row r="268" spans="1:8" x14ac:dyDescent="0.2">
      <c r="A268" s="3"/>
      <c r="B268" s="3"/>
      <c r="C268" s="2"/>
      <c r="H268" s="2"/>
    </row>
    <row r="269" spans="1:8" x14ac:dyDescent="0.2">
      <c r="A269" s="3"/>
      <c r="B269" s="3"/>
      <c r="C269" s="2"/>
      <c r="H269" s="2"/>
    </row>
    <row r="270" spans="1:8" x14ac:dyDescent="0.2">
      <c r="A270" s="3"/>
      <c r="B270" s="3"/>
      <c r="C270" s="2"/>
      <c r="H270" s="2"/>
    </row>
    <row r="271" spans="1:8" x14ac:dyDescent="0.2">
      <c r="A271" s="3"/>
      <c r="B271" s="3"/>
      <c r="C271" s="2"/>
      <c r="H271" s="2"/>
    </row>
    <row r="272" spans="1:8" x14ac:dyDescent="0.2">
      <c r="A272" s="3"/>
      <c r="B272" s="3"/>
      <c r="C272" s="2"/>
      <c r="H272" s="2"/>
    </row>
    <row r="273" spans="1:8" x14ac:dyDescent="0.2">
      <c r="A273" s="3"/>
      <c r="B273" s="3"/>
      <c r="C273" s="2"/>
      <c r="H273" s="2"/>
    </row>
    <row r="274" spans="1:8" x14ac:dyDescent="0.2">
      <c r="A274" s="3"/>
      <c r="B274" s="3"/>
      <c r="C274" s="2"/>
      <c r="H274" s="2"/>
    </row>
    <row r="275" spans="1:8" x14ac:dyDescent="0.2">
      <c r="A275" s="3"/>
      <c r="B275" s="3"/>
      <c r="C275" s="2"/>
    </row>
    <row r="276" spans="1:8" x14ac:dyDescent="0.2">
      <c r="A276" s="3"/>
      <c r="B276" s="3"/>
      <c r="C276" s="2"/>
    </row>
    <row r="277" spans="1:8" x14ac:dyDescent="0.2">
      <c r="A277" s="3"/>
      <c r="B277" s="3"/>
      <c r="C277" s="2"/>
    </row>
    <row r="278" spans="1:8" x14ac:dyDescent="0.2">
      <c r="A278" s="3"/>
      <c r="B278" s="3"/>
      <c r="C278" s="2"/>
    </row>
    <row r="279" spans="1:8" x14ac:dyDescent="0.2">
      <c r="A279" s="3"/>
      <c r="B279" s="3"/>
      <c r="C279" s="2"/>
    </row>
    <row r="280" spans="1:8" x14ac:dyDescent="0.2">
      <c r="A280" s="3"/>
      <c r="B280" s="3"/>
      <c r="C280" s="2"/>
    </row>
    <row r="281" spans="1:8" x14ac:dyDescent="0.2">
      <c r="A281" s="3"/>
      <c r="B281" s="3"/>
      <c r="C281" s="2"/>
    </row>
    <row r="282" spans="1:8" x14ac:dyDescent="0.2">
      <c r="A282" s="3"/>
      <c r="B282" s="3"/>
      <c r="C282" s="2"/>
    </row>
    <row r="283" spans="1:8" x14ac:dyDescent="0.2">
      <c r="A283" s="3"/>
      <c r="B283" s="3"/>
      <c r="C283" s="2"/>
    </row>
    <row r="284" spans="1:8" x14ac:dyDescent="0.2">
      <c r="A284" s="3"/>
      <c r="B284" s="3"/>
      <c r="C284" s="2"/>
    </row>
    <row r="285" spans="1:8" x14ac:dyDescent="0.2">
      <c r="A285" s="3"/>
      <c r="B285" s="3"/>
      <c r="C285" s="2"/>
    </row>
    <row r="286" spans="1:8" x14ac:dyDescent="0.2">
      <c r="A286" s="3"/>
      <c r="B286" s="3"/>
      <c r="C286" s="2"/>
    </row>
    <row r="287" spans="1:8" x14ac:dyDescent="0.2">
      <c r="A287" s="3"/>
      <c r="B287" s="3"/>
      <c r="C287" s="2"/>
    </row>
    <row r="288" spans="1:8" x14ac:dyDescent="0.2">
      <c r="A288" s="3"/>
      <c r="B288" s="3"/>
      <c r="C288" s="2"/>
    </row>
    <row r="289" spans="1:3" x14ac:dyDescent="0.2">
      <c r="A289" s="3"/>
      <c r="B289" s="3"/>
      <c r="C289" s="2"/>
    </row>
    <row r="290" spans="1:3" x14ac:dyDescent="0.2">
      <c r="A290" s="3"/>
      <c r="B290" s="3"/>
      <c r="C290" s="2"/>
    </row>
    <row r="291" spans="1:3" x14ac:dyDescent="0.2">
      <c r="A291" s="3"/>
      <c r="B291" s="3"/>
      <c r="C291" s="2"/>
    </row>
    <row r="292" spans="1:3" x14ac:dyDescent="0.2">
      <c r="A292" s="3"/>
      <c r="B292" s="3"/>
      <c r="C292" s="2"/>
    </row>
    <row r="293" spans="1:3" x14ac:dyDescent="0.2">
      <c r="A293" s="3"/>
      <c r="B293" s="3"/>
      <c r="C293" s="2"/>
    </row>
    <row r="294" spans="1:3" x14ac:dyDescent="0.2">
      <c r="A294" s="3"/>
      <c r="B294" s="3"/>
      <c r="C294" s="2"/>
    </row>
    <row r="295" spans="1:3" x14ac:dyDescent="0.2">
      <c r="A295" s="3"/>
      <c r="B295" s="3"/>
      <c r="C295" s="2"/>
    </row>
    <row r="296" spans="1:3" x14ac:dyDescent="0.2">
      <c r="A296" s="3"/>
      <c r="B296" s="3"/>
      <c r="C296" s="2"/>
    </row>
    <row r="297" spans="1:3" x14ac:dyDescent="0.2">
      <c r="A297" s="3"/>
      <c r="B297" s="3"/>
      <c r="C297" s="2"/>
    </row>
    <row r="298" spans="1:3" x14ac:dyDescent="0.2">
      <c r="A298" s="3"/>
      <c r="B298" s="3"/>
      <c r="C298" s="2"/>
    </row>
    <row r="299" spans="1:3" x14ac:dyDescent="0.2">
      <c r="A299" s="3"/>
      <c r="B299" s="3"/>
      <c r="C299" s="2"/>
    </row>
    <row r="300" spans="1:3" x14ac:dyDescent="0.2">
      <c r="A300" s="3"/>
      <c r="B300" s="3"/>
      <c r="C300" s="2"/>
    </row>
    <row r="301" spans="1:3" x14ac:dyDescent="0.2">
      <c r="A301" s="3"/>
      <c r="B301" s="3"/>
      <c r="C301" s="2"/>
    </row>
    <row r="302" spans="1:3" x14ac:dyDescent="0.2">
      <c r="A302" s="3"/>
      <c r="B302" s="3"/>
      <c r="C302" s="2"/>
    </row>
    <row r="303" spans="1:3" x14ac:dyDescent="0.2">
      <c r="A303" s="3"/>
      <c r="B303" s="3"/>
      <c r="C303" s="2"/>
    </row>
    <row r="304" spans="1:3" x14ac:dyDescent="0.2">
      <c r="A304" s="3"/>
      <c r="B304" s="3"/>
      <c r="C304" s="2"/>
    </row>
    <row r="305" spans="1:3" x14ac:dyDescent="0.2">
      <c r="A305" s="3"/>
      <c r="B305" s="3"/>
      <c r="C305" s="2"/>
    </row>
    <row r="306" spans="1:3" x14ac:dyDescent="0.2">
      <c r="A306" s="3"/>
      <c r="B306" s="3"/>
      <c r="C306" s="2"/>
    </row>
    <row r="307" spans="1:3" x14ac:dyDescent="0.2">
      <c r="A307" s="3"/>
      <c r="B307" s="3"/>
      <c r="C307" s="2"/>
    </row>
    <row r="308" spans="1:3" x14ac:dyDescent="0.2">
      <c r="A308" s="3"/>
      <c r="B308" s="3"/>
      <c r="C308" s="2"/>
    </row>
    <row r="309" spans="1:3" x14ac:dyDescent="0.2">
      <c r="A309" s="3"/>
      <c r="B309" s="3"/>
    </row>
    <row r="310" spans="1:3" x14ac:dyDescent="0.2">
      <c r="A310" s="3"/>
      <c r="B310" s="3"/>
    </row>
    <row r="311" spans="1:3" x14ac:dyDescent="0.2">
      <c r="A311" s="3"/>
      <c r="B311" s="3"/>
    </row>
    <row r="312" spans="1:3" x14ac:dyDescent="0.2">
      <c r="A312" s="3"/>
      <c r="B312" s="3"/>
    </row>
    <row r="313" spans="1:3" x14ac:dyDescent="0.2">
      <c r="A313" s="3"/>
      <c r="B313" s="3"/>
    </row>
    <row r="314" spans="1:3" x14ac:dyDescent="0.2">
      <c r="A314" s="3"/>
      <c r="B314" s="3"/>
    </row>
    <row r="315" spans="1:3" x14ac:dyDescent="0.2">
      <c r="A315" s="3"/>
      <c r="B315" s="3"/>
    </row>
    <row r="316" spans="1:3" x14ac:dyDescent="0.2">
      <c r="A316" s="3"/>
      <c r="B316" s="3"/>
    </row>
    <row r="317" spans="1:3" x14ac:dyDescent="0.2">
      <c r="A317" s="3"/>
      <c r="B317" s="3"/>
    </row>
    <row r="318" spans="1:3" x14ac:dyDescent="0.2">
      <c r="A318" s="3"/>
      <c r="B318" s="3"/>
    </row>
    <row r="319" spans="1:3" x14ac:dyDescent="0.2">
      <c r="A319" s="3"/>
      <c r="B319" s="3"/>
    </row>
    <row r="320" spans="1:3" x14ac:dyDescent="0.2">
      <c r="A320" s="3"/>
      <c r="B320" s="3"/>
    </row>
    <row r="321" spans="1:2" x14ac:dyDescent="0.2">
      <c r="A321" s="3"/>
      <c r="B321" s="3"/>
    </row>
    <row r="322" spans="1:2" x14ac:dyDescent="0.2">
      <c r="A322" s="3"/>
      <c r="B322" s="3"/>
    </row>
    <row r="323" spans="1:2" x14ac:dyDescent="0.2">
      <c r="A323" s="3"/>
      <c r="B323" s="3"/>
    </row>
    <row r="324" spans="1:2" x14ac:dyDescent="0.2">
      <c r="A324" s="3"/>
      <c r="B324" s="3"/>
    </row>
    <row r="325" spans="1:2" x14ac:dyDescent="0.2">
      <c r="A325" s="3"/>
      <c r="B325" s="3"/>
    </row>
    <row r="326" spans="1:2" x14ac:dyDescent="0.2">
      <c r="A326" s="3"/>
      <c r="B326" s="3"/>
    </row>
    <row r="327" spans="1:2" x14ac:dyDescent="0.2">
      <c r="A327" s="3"/>
      <c r="B327" s="3"/>
    </row>
    <row r="328" spans="1:2" x14ac:dyDescent="0.2">
      <c r="A328" s="3"/>
      <c r="B328" s="3"/>
    </row>
    <row r="329" spans="1:2" x14ac:dyDescent="0.2">
      <c r="A329" s="3"/>
      <c r="B329" s="3"/>
    </row>
    <row r="330" spans="1:2" x14ac:dyDescent="0.2">
      <c r="A330" s="3"/>
      <c r="B330" s="3"/>
    </row>
    <row r="331" spans="1:2" x14ac:dyDescent="0.2">
      <c r="A331" s="3"/>
      <c r="B331" s="3"/>
    </row>
    <row r="332" spans="1:2" x14ac:dyDescent="0.2">
      <c r="A332" s="3"/>
      <c r="B332" s="3"/>
    </row>
    <row r="333" spans="1:2" x14ac:dyDescent="0.2">
      <c r="A333" s="3"/>
      <c r="B333" s="3"/>
    </row>
    <row r="334" spans="1:2" x14ac:dyDescent="0.2">
      <c r="A334" s="3"/>
      <c r="B334" s="3"/>
    </row>
    <row r="335" spans="1:2" x14ac:dyDescent="0.2">
      <c r="A335" s="3"/>
      <c r="B335" s="3"/>
    </row>
    <row r="336" spans="1:2" x14ac:dyDescent="0.2">
      <c r="A336" s="3"/>
      <c r="B336" s="3"/>
    </row>
    <row r="337" spans="1:2" x14ac:dyDescent="0.2">
      <c r="A337" s="3"/>
      <c r="B337" s="3"/>
    </row>
    <row r="338" spans="1:2" x14ac:dyDescent="0.2">
      <c r="A338" s="3"/>
      <c r="B338" s="3"/>
    </row>
    <row r="339" spans="1:2" x14ac:dyDescent="0.2">
      <c r="A339" s="3"/>
      <c r="B339" s="3"/>
    </row>
    <row r="340" spans="1:2" x14ac:dyDescent="0.2">
      <c r="A340" s="3"/>
      <c r="B340" s="3"/>
    </row>
    <row r="341" spans="1:2" x14ac:dyDescent="0.2">
      <c r="A341" s="3"/>
      <c r="B341" s="3"/>
    </row>
    <row r="342" spans="1:2" x14ac:dyDescent="0.2">
      <c r="A342" s="3"/>
      <c r="B342" s="3"/>
    </row>
    <row r="343" spans="1:2" x14ac:dyDescent="0.2">
      <c r="A343" s="3"/>
      <c r="B343" s="3"/>
    </row>
    <row r="344" spans="1:2" x14ac:dyDescent="0.2">
      <c r="A344" s="3"/>
      <c r="B344" s="3"/>
    </row>
    <row r="345" spans="1:2" x14ac:dyDescent="0.2">
      <c r="A345" s="3"/>
      <c r="B345" s="3"/>
    </row>
  </sheetData>
  <mergeCells count="8">
    <mergeCell ref="A231:C231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2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2018-01-23T12:11:38Z</cp:lastPrinted>
  <dcterms:created xsi:type="dcterms:W3CDTF">2005-04-08T06:14:05Z</dcterms:created>
  <dcterms:modified xsi:type="dcterms:W3CDTF">2018-01-25T09:19:17Z</dcterms:modified>
</cp:coreProperties>
</file>