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1340" windowHeight="5610" tabRatio="602"/>
  </bookViews>
  <sheets>
    <sheet name="додаток" sheetId="4" r:id="rId1"/>
  </sheets>
  <definedNames>
    <definedName name="_xlnm.Print_Titles" localSheetId="0">додаток!$9:$9</definedName>
    <definedName name="_xlnm.Print_Area" localSheetId="0">додаток!$A$1:$F$167</definedName>
  </definedNames>
  <calcPr calcId="124519"/>
</workbook>
</file>

<file path=xl/calcChain.xml><?xml version="1.0" encoding="utf-8"?>
<calcChain xmlns="http://schemas.openxmlformats.org/spreadsheetml/2006/main">
  <c r="E62" i="4"/>
  <c r="E63"/>
  <c r="E161" l="1"/>
  <c r="E108"/>
  <c r="E153"/>
  <c r="F153" s="1"/>
  <c r="E152"/>
  <c r="D152"/>
  <c r="F152" s="1"/>
  <c r="E151"/>
  <c r="F151" s="1"/>
  <c r="E150"/>
  <c r="F150" s="1"/>
  <c r="D149"/>
  <c r="E149" l="1"/>
  <c r="F149" s="1"/>
  <c r="E42"/>
  <c r="E40"/>
  <c r="E111" l="1"/>
  <c r="E48"/>
  <c r="E136" l="1"/>
  <c r="E135"/>
  <c r="F141"/>
  <c r="E140"/>
  <c r="F140" s="1"/>
  <c r="E139"/>
  <c r="E75"/>
  <c r="E71"/>
  <c r="F78"/>
  <c r="E77"/>
  <c r="F77"/>
  <c r="E72" l="1"/>
  <c r="E101" l="1"/>
  <c r="E34"/>
  <c r="E86" l="1"/>
  <c r="F87"/>
  <c r="E19" l="1"/>
  <c r="E14"/>
  <c r="E13" l="1"/>
  <c r="F23" l="1"/>
  <c r="E22"/>
  <c r="F22" s="1"/>
  <c r="F20"/>
  <c r="F17"/>
  <c r="F16"/>
  <c r="F15"/>
  <c r="F14"/>
  <c r="F13"/>
  <c r="E12" l="1"/>
  <c r="F12" s="1"/>
  <c r="E21"/>
  <c r="F21" s="1"/>
  <c r="F19"/>
  <c r="E18"/>
  <c r="E81"/>
  <c r="F83"/>
  <c r="F84"/>
  <c r="F82"/>
  <c r="F81"/>
  <c r="D80"/>
  <c r="F158"/>
  <c r="E157"/>
  <c r="D157"/>
  <c r="F157" s="1"/>
  <c r="E156"/>
  <c r="F156" s="1"/>
  <c r="E155"/>
  <c r="E154" s="1"/>
  <c r="D154"/>
  <c r="F154" l="1"/>
  <c r="E11"/>
  <c r="F18"/>
  <c r="E80"/>
  <c r="F80" s="1"/>
  <c r="F155"/>
  <c r="F11" l="1"/>
  <c r="F79"/>
  <c r="E64"/>
  <c r="E54"/>
  <c r="E53"/>
  <c r="E52"/>
  <c r="E51"/>
  <c r="D24"/>
  <c r="D25"/>
  <c r="F26"/>
  <c r="E25" l="1"/>
  <c r="E24" s="1"/>
  <c r="F24" l="1"/>
  <c r="E10"/>
  <c r="F10" s="1"/>
  <c r="F25"/>
  <c r="D147" l="1"/>
  <c r="D146" s="1"/>
  <c r="E147"/>
  <c r="E144"/>
  <c r="F144" s="1"/>
  <c r="F148"/>
  <c r="E146"/>
  <c r="F143"/>
  <c r="E142"/>
  <c r="F142" s="1"/>
  <c r="F75"/>
  <c r="F74"/>
  <c r="D70"/>
  <c r="F65"/>
  <c r="E60"/>
  <c r="E59" s="1"/>
  <c r="F61"/>
  <c r="F60"/>
  <c r="D63"/>
  <c r="D59"/>
  <c r="D58" s="1"/>
  <c r="F63"/>
  <c r="F62"/>
  <c r="F73"/>
  <c r="F76"/>
  <c r="E120"/>
  <c r="E118"/>
  <c r="E117"/>
  <c r="F121"/>
  <c r="F119"/>
  <c r="F118"/>
  <c r="D115"/>
  <c r="E56"/>
  <c r="E50" s="1"/>
  <c r="F117" l="1"/>
  <c r="E116"/>
  <c r="F116" s="1"/>
  <c r="F146"/>
  <c r="F147"/>
  <c r="F145"/>
  <c r="F120"/>
  <c r="E115"/>
  <c r="F115" l="1"/>
  <c r="F55"/>
  <c r="F56"/>
  <c r="F57"/>
  <c r="F53"/>
  <c r="F51"/>
  <c r="F52"/>
  <c r="E133"/>
  <c r="E132" s="1"/>
  <c r="F132" s="1"/>
  <c r="E130"/>
  <c r="E129" s="1"/>
  <c r="D129"/>
  <c r="E128"/>
  <c r="E124" s="1"/>
  <c r="E126"/>
  <c r="D125"/>
  <c r="D126"/>
  <c r="D124"/>
  <c r="D123"/>
  <c r="F131"/>
  <c r="F126"/>
  <c r="E125"/>
  <c r="F125" s="1"/>
  <c r="E69"/>
  <c r="E68" s="1"/>
  <c r="F69"/>
  <c r="D66"/>
  <c r="D49"/>
  <c r="D50"/>
  <c r="E100"/>
  <c r="E33"/>
  <c r="F33" s="1"/>
  <c r="F34"/>
  <c r="E92"/>
  <c r="E93"/>
  <c r="E91"/>
  <c r="E90"/>
  <c r="E94"/>
  <c r="F101"/>
  <c r="D97"/>
  <c r="D94"/>
  <c r="D93"/>
  <c r="F93" s="1"/>
  <c r="D92"/>
  <c r="D91"/>
  <c r="D90"/>
  <c r="F90" s="1"/>
  <c r="D86"/>
  <c r="D85" s="1"/>
  <c r="F91"/>
  <c r="D29"/>
  <c r="E112"/>
  <c r="F113"/>
  <c r="F112"/>
  <c r="F114"/>
  <c r="E110"/>
  <c r="D111"/>
  <c r="D110"/>
  <c r="D109" s="1"/>
  <c r="F108"/>
  <c r="E106"/>
  <c r="D104"/>
  <c r="D103"/>
  <c r="D48"/>
  <c r="E47"/>
  <c r="D47"/>
  <c r="E46"/>
  <c r="F46" s="1"/>
  <c r="F133" l="1"/>
  <c r="E98"/>
  <c r="F100"/>
  <c r="E99"/>
  <c r="F98"/>
  <c r="E97"/>
  <c r="E67"/>
  <c r="F68"/>
  <c r="E31"/>
  <c r="F31" s="1"/>
  <c r="F92"/>
  <c r="E32"/>
  <c r="F130"/>
  <c r="F129"/>
  <c r="F67"/>
  <c r="E66"/>
  <c r="F66" s="1"/>
  <c r="F97"/>
  <c r="E88"/>
  <c r="F88" s="1"/>
  <c r="F94"/>
  <c r="E104"/>
  <c r="E96" s="1"/>
  <c r="F111"/>
  <c r="E107"/>
  <c r="F107" s="1"/>
  <c r="F99" l="1"/>
  <c r="F32"/>
  <c r="E30"/>
  <c r="E85"/>
  <c r="E29" l="1"/>
  <c r="F30"/>
  <c r="F48"/>
  <c r="E45"/>
  <c r="F45" s="1"/>
  <c r="E43"/>
  <c r="E37" s="1"/>
  <c r="E44"/>
  <c r="E38" s="1"/>
  <c r="F38" s="1"/>
  <c r="D42"/>
  <c r="E41"/>
  <c r="D41"/>
  <c r="D40"/>
  <c r="E39"/>
  <c r="E36" s="1"/>
  <c r="D39"/>
  <c r="D36"/>
  <c r="D35" s="1"/>
  <c r="D165"/>
  <c r="D162"/>
  <c r="D96"/>
  <c r="D95"/>
  <c r="D28"/>
  <c r="D27"/>
  <c r="F29" l="1"/>
  <c r="F64"/>
  <c r="E58"/>
  <c r="F58" s="1"/>
  <c r="F59" l="1"/>
  <c r="E138" l="1"/>
  <c r="E49"/>
  <c r="E109"/>
  <c r="F109" s="1"/>
  <c r="F106"/>
  <c r="F37"/>
  <c r="F44"/>
  <c r="F43"/>
  <c r="F42"/>
  <c r="E137" l="1"/>
  <c r="F138"/>
  <c r="F54"/>
  <c r="F49"/>
  <c r="F50"/>
  <c r="F39"/>
  <c r="F104" l="1"/>
  <c r="F110"/>
  <c r="F47"/>
  <c r="F85" l="1"/>
  <c r="E27" l="1"/>
  <c r="F139" l="1"/>
  <c r="F136"/>
  <c r="D134"/>
  <c r="F135" l="1"/>
  <c r="F134" s="1"/>
  <c r="E134"/>
  <c r="F137"/>
  <c r="F72" l="1"/>
  <c r="E105"/>
  <c r="E103" s="1"/>
  <c r="E102" l="1"/>
  <c r="E95" s="1"/>
  <c r="F105" l="1"/>
  <c r="F27"/>
  <c r="F128" l="1"/>
  <c r="D122"/>
  <c r="F124" l="1"/>
  <c r="E127"/>
  <c r="E123" s="1"/>
  <c r="D161"/>
  <c r="F41"/>
  <c r="F127" l="1"/>
  <c r="F123"/>
  <c r="F122" s="1"/>
  <c r="E165"/>
  <c r="E122" l="1"/>
  <c r="D102"/>
  <c r="F103" l="1"/>
  <c r="F102" l="1"/>
  <c r="D160" l="1"/>
  <c r="D163"/>
  <c r="F164"/>
  <c r="F40"/>
  <c r="F161"/>
  <c r="F165"/>
  <c r="E163"/>
  <c r="F163" l="1"/>
  <c r="D159"/>
  <c r="E162" l="1"/>
  <c r="F71"/>
  <c r="E70"/>
  <c r="F96"/>
  <c r="F70" l="1"/>
  <c r="F162"/>
  <c r="E160"/>
  <c r="E35"/>
  <c r="E28" s="1"/>
  <c r="E159" s="1"/>
  <c r="F36"/>
  <c r="F160" l="1"/>
  <c r="F28"/>
  <c r="F35"/>
  <c r="F86" l="1"/>
  <c r="F95" l="1"/>
  <c r="F159" l="1"/>
</calcChain>
</file>

<file path=xl/sharedStrings.xml><?xml version="1.0" encoding="utf-8"?>
<sst xmlns="http://schemas.openxmlformats.org/spreadsheetml/2006/main" count="297" uniqueCount="201">
  <si>
    <t>грн.</t>
  </si>
  <si>
    <t>Показники бюджету</t>
  </si>
  <si>
    <t>КТКВ</t>
  </si>
  <si>
    <t>Зміни до показників</t>
  </si>
  <si>
    <t xml:space="preserve"> - профіцит за рахунок коштів, що передаються із загального фонду бюджету до бюджету розвитку (спеціального фонду)</t>
  </si>
  <si>
    <t xml:space="preserve"> - дефіцит за рахунок коштів, що передаються із загального фонду бюджету до бюджету розвитку (спеціального фонду)</t>
  </si>
  <si>
    <t>у тому числі бюджет розвитку</t>
  </si>
  <si>
    <t>Управління благоустрою та житлової політики виконкому Криворізької міської ради</t>
  </si>
  <si>
    <t>Видатки та кредитування загального фонду, разом:</t>
  </si>
  <si>
    <t>Видатки та кредитування  спеціального фонду, разом:</t>
  </si>
  <si>
    <t>Джерела фінансування загального фонду, усього:</t>
  </si>
  <si>
    <t>Джерела фінансування спеціального фонду, усього:</t>
  </si>
  <si>
    <t xml:space="preserve">Проект унесення змін до показників міського бюджету на 2017 рік </t>
  </si>
  <si>
    <t>Уточнені показники на 2017 рік</t>
  </si>
  <si>
    <t xml:space="preserve"> - дефіцит за рахунок розподілу вільного залишку коштів, що склався на рахунку загального фонду міського бюджету станом на 01.01.2017</t>
  </si>
  <si>
    <t xml:space="preserve"> - дефіцит за рахунок розподілу залишків коштів, що склалися на рахунках спеціального фонду міського бюджету станом на 01.01.2017</t>
  </si>
  <si>
    <t>Управління освіти і науки виконкому Криворізької міської ради</t>
  </si>
  <si>
    <t>1000000</t>
  </si>
  <si>
    <t>1010000</t>
  </si>
  <si>
    <t>Код  програмної класифікації видатків та кредитування місцевого бюджету</t>
  </si>
  <si>
    <t>Дошкільна освіта</t>
  </si>
  <si>
    <t>Надання загальної середньої освіти загальноосвітніми навчальними закладами (в т.ч. школою – дитячим садком, інтернатом при школі), спеціалізованими школами, ліцеями, гімназіями, колегіумами</t>
  </si>
  <si>
    <t>1011010</t>
  </si>
  <si>
    <t>1011020</t>
  </si>
  <si>
    <t xml:space="preserve">            до рішення виконкому міської ради </t>
  </si>
  <si>
    <t>Видатки та кредитування загального та спеціального фондів разом:</t>
  </si>
  <si>
    <t>Код доходів, код ТПКВКМБ /
ТКВКБМС</t>
  </si>
  <si>
    <t xml:space="preserve">Керуюча справами виконкому </t>
  </si>
  <si>
    <t>О.Шовгеля</t>
  </si>
  <si>
    <t xml:space="preserve">             Додаток </t>
  </si>
  <si>
    <t>Управління культури виконкому Криворізької міської ради</t>
  </si>
  <si>
    <t>Доходи загального фонду разом:</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</si>
  <si>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</si>
  <si>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</si>
  <si>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 </t>
  </si>
  <si>
    <t>Податок на доходи фізичних осіб, що сплачується податковими агентами, із доходів платника податку у вигляді заробітної плати</t>
  </si>
  <si>
    <t>2400000</t>
  </si>
  <si>
    <t>Доходи загального та спеціального фондів разом:</t>
  </si>
  <si>
    <t>з них оплата праці</t>
  </si>
  <si>
    <t>Надання загальної середньої освіти загальноосвiтнiми школами-iнтернатами, загальноосвітніми санаторними школами-інтернатами</t>
  </si>
  <si>
    <t>1011040</t>
  </si>
  <si>
    <t>1040</t>
  </si>
  <si>
    <t>Управління з питань надзвичайних ситуацій та цивільного захисту населення виконавчого комітету Криворізької міської ради</t>
  </si>
  <si>
    <t>6700000</t>
  </si>
  <si>
    <t>6710000</t>
  </si>
  <si>
    <t>4000000</t>
  </si>
  <si>
    <t>4010000</t>
  </si>
  <si>
    <t>Місцеві податки</t>
  </si>
  <si>
    <t>Єдиний податок</t>
  </si>
  <si>
    <t>Єдиний податок з фізичних осіб</t>
  </si>
  <si>
    <t>20000000</t>
  </si>
  <si>
    <t>Неподаткові надходження</t>
  </si>
  <si>
    <t>21000000</t>
  </si>
  <si>
    <t>21050000 </t>
  </si>
  <si>
    <t>Плата за розміщення тимчасово вільних коштів місцевих бюджетів </t>
  </si>
  <si>
    <t>Фінансове управління виконкому Криворізької міської ради</t>
  </si>
  <si>
    <t>1400000</t>
  </si>
  <si>
    <t>1410000</t>
  </si>
  <si>
    <t>Управління охорони  здоров'я виконкому Криворізької міської ради</t>
  </si>
  <si>
    <t>8800</t>
  </si>
  <si>
    <t>Офіційні трансферти (розшифровуються за видами трансфертів та бюджетів)</t>
  </si>
  <si>
    <t>40000000</t>
  </si>
  <si>
    <t xml:space="preserve">Від органів державного управління </t>
  </si>
  <si>
    <t>41000000</t>
  </si>
  <si>
    <t>1010</t>
  </si>
  <si>
    <t>1011170</t>
  </si>
  <si>
    <t>1170</t>
  </si>
  <si>
    <t xml:space="preserve">Методичне забезпечення діяльності навчальних закладів та інші заходи в галузі освіти </t>
  </si>
  <si>
    <t xml:space="preserve">комунальні послуги та енергоносії </t>
  </si>
  <si>
    <t>2010</t>
  </si>
  <si>
    <t>1412010</t>
  </si>
  <si>
    <t xml:space="preserve">Багатопрофільна стаціонарна медична допомога населенню </t>
  </si>
  <si>
    <t>2414090</t>
  </si>
  <si>
    <t>4090</t>
  </si>
  <si>
    <t>Палаци і будинки культури, клуби та інші заклади клубного типу</t>
  </si>
  <si>
    <t>4016021</t>
  </si>
  <si>
    <t>4016020</t>
  </si>
  <si>
    <t>6020</t>
  </si>
  <si>
    <t>Капітальний ремонт об’єктів житлового господарства</t>
  </si>
  <si>
    <t xml:space="preserve">Капітальний ремонт житлового фонду </t>
  </si>
  <si>
    <t>6021</t>
  </si>
  <si>
    <t>Податок на доходи фізичних осіб, що сплачується податковими агентами, із доходів платника податку інших ніж  заробітна плата</t>
  </si>
  <si>
    <t>1011090</t>
  </si>
  <si>
    <t>1090</t>
  </si>
  <si>
    <t>Надання позашкільної освіти позашкільними закладами освіти, заходи із позашкільної роботи з дітьми</t>
  </si>
  <si>
    <t>1500000</t>
  </si>
  <si>
    <t>1510000</t>
  </si>
  <si>
    <t>Управління праці та соціального захисту населення виконкому Криворізької міської ради</t>
  </si>
  <si>
    <t>Інші видатки на соціальний захист населення</t>
  </si>
  <si>
    <t>1513400</t>
  </si>
  <si>
    <t>3400</t>
  </si>
  <si>
    <t>комунальні послуги і енергоносії</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</si>
  <si>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</si>
  <si>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</si>
  <si>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</si>
  <si>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</si>
  <si>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</si>
  <si>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1013160</t>
  </si>
  <si>
    <t>3160</t>
  </si>
  <si>
    <t>Утилізація відходів</t>
  </si>
  <si>
    <t>1019120</t>
  </si>
  <si>
    <t>9120</t>
  </si>
  <si>
    <t>видатки розвитку</t>
  </si>
  <si>
    <t>0300000</t>
  </si>
  <si>
    <t>0310000</t>
  </si>
  <si>
    <t>Виконавчий комітет Криворізької міської ради</t>
  </si>
  <si>
    <t>Керівництво і управління у відповідній сфері у містах, селищах, селах</t>
  </si>
  <si>
    <t>0310180</t>
  </si>
  <si>
    <t>0180</t>
  </si>
  <si>
    <t>Інші додаткові дотації</t>
  </si>
  <si>
    <t>у тому числі за бюджетами районних у місті рад:</t>
  </si>
  <si>
    <t>Покровської</t>
  </si>
  <si>
    <t>Інгулецької</t>
  </si>
  <si>
    <t>Саксаганської</t>
  </si>
  <si>
    <t>Тернівської</t>
  </si>
  <si>
    <t>Центрально-Міської</t>
  </si>
  <si>
    <t>Субвенція з місцевого бюджету державному бюджету на виконання програм соціально-економічного та культурного розвитку регіонів</t>
  </si>
  <si>
    <t>8370</t>
  </si>
  <si>
    <t>0318370</t>
  </si>
  <si>
    <t>2410000</t>
  </si>
  <si>
    <t>Підтримка засобів масової інформації</t>
  </si>
  <si>
    <t>Сприяння діяльності телебачення і радіомовлення</t>
  </si>
  <si>
    <t>2417210</t>
  </si>
  <si>
    <t>7210</t>
  </si>
  <si>
    <t>7211</t>
  </si>
  <si>
    <t>2417211</t>
  </si>
  <si>
    <t>4020</t>
  </si>
  <si>
    <t>Театри</t>
  </si>
  <si>
    <t>7470</t>
  </si>
  <si>
    <t>Внески до статутного капіталу суб’єктів господарювання</t>
  </si>
  <si>
    <t>у тому числі видатки споживання</t>
  </si>
  <si>
    <t>Лікарсько-акушерська допомога  вагітним, породіллям та новонародженим</t>
  </si>
  <si>
    <t xml:space="preserve">Амбулаторно-поліклінічна допомога населенню </t>
  </si>
  <si>
    <t xml:space="preserve">Надання стоматологічної допомоги населенню </t>
  </si>
  <si>
    <t>2050</t>
  </si>
  <si>
    <t>2120</t>
  </si>
  <si>
    <t>2140</t>
  </si>
  <si>
    <t>Інші субвенції</t>
  </si>
  <si>
    <t>у тому числі субвенція з міського бюджету до обласногоу бюджету на поточний ремонт санітарних автомобілів КЗ "Криворізька станція швидкої медичної допомоги" ДОР"</t>
  </si>
  <si>
    <t>2180</t>
  </si>
  <si>
    <t>1412180</t>
  </si>
  <si>
    <t>Первинна медична допомога населенню</t>
  </si>
  <si>
    <t>3190</t>
  </si>
  <si>
    <t>1513190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</si>
  <si>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t>
  </si>
  <si>
    <t>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t>
  </si>
  <si>
    <t>1518580</t>
  </si>
  <si>
    <t>8580</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</si>
  <si>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</si>
  <si>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1513030</t>
  </si>
  <si>
    <t>1513038</t>
  </si>
  <si>
    <t>3038</t>
  </si>
  <si>
    <t>3030</t>
  </si>
  <si>
    <t>Компенсаційні виплати на пільговий проїзд електротранспортом окремим категоріям громадян</t>
  </si>
  <si>
    <t>у тому числі за бюджетом Саксаганської районної у місті ради</t>
  </si>
  <si>
    <t>Благоустрій міст, сіл, селищ</t>
  </si>
  <si>
    <t>4016060</t>
  </si>
  <si>
    <t>6060</t>
  </si>
  <si>
    <t xml:space="preserve">з них комунальні послуги та енергоносії </t>
  </si>
  <si>
    <t>6130</t>
  </si>
  <si>
    <t>4016130</t>
  </si>
  <si>
    <t>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t>
  </si>
  <si>
    <t>6650</t>
  </si>
  <si>
    <t>4016650</t>
  </si>
  <si>
    <t>Утримання та розвиток інфраструктури доріг</t>
  </si>
  <si>
    <t>Інші заходи у сфері електротранспорту</t>
  </si>
  <si>
    <t>6640</t>
  </si>
  <si>
    <t>4016640</t>
  </si>
  <si>
    <t>4017470</t>
  </si>
  <si>
    <t>4018800</t>
  </si>
  <si>
    <t>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пунктами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t>
  </si>
  <si>
    <t>1413400</t>
  </si>
  <si>
    <t>4017500</t>
  </si>
  <si>
    <t>7500</t>
  </si>
  <si>
    <t>Інші заходи, пов'язані з економічною діяльністю</t>
  </si>
  <si>
    <t>Видатки на запобігання та ліквідацію надзвичайних ситуацій та наслідків стихійного лиха</t>
  </si>
  <si>
    <t>6717810</t>
  </si>
  <si>
    <t>7810</t>
  </si>
  <si>
    <t>6710180</t>
  </si>
  <si>
    <t>6717840</t>
  </si>
  <si>
    <t>7840</t>
  </si>
  <si>
    <t>Організація рятування на водах</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</si>
  <si>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</si>
  <si>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11010900</t>
  </si>
  <si>
    <t xml:space="preserve">Податок на доходи фізичних осіб від оподаткування пенсійних виплат або щомісячного довічного грошового утримання, що сплачується (перераховується) згідно з Податковим кодексом України  </t>
  </si>
  <si>
    <t>Доходи від власності та пілприємницької діяльності</t>
  </si>
  <si>
    <t xml:space="preserve">Затверджено на 2017 рік </t>
  </si>
  <si>
    <t>7618600</t>
  </si>
  <si>
    <t>86000</t>
  </si>
  <si>
    <t xml:space="preserve">Інші видатки </t>
  </si>
  <si>
    <t>Інші заходи у сфері автомобільного транспорту</t>
  </si>
  <si>
    <t>4016800</t>
  </si>
  <si>
    <t>6800</t>
  </si>
  <si>
    <t>4017410</t>
  </si>
  <si>
    <t>7410</t>
  </si>
  <si>
    <t>Заходи з енергозбереження</t>
  </si>
  <si>
    <t>у тому числі субвенція з міського бюджету обласному бюджету на капітальний ремонт вулиць і доріг міста (згідно з рішеннями суду)</t>
  </si>
  <si>
    <t xml:space="preserve">Відділ транспорту і зв'язку виконкому Криворізької міської ради </t>
  </si>
  <si>
    <t>6500000</t>
  </si>
  <si>
    <t>6717470</t>
  </si>
  <si>
    <t xml:space="preserve">           12.07.2017 №304</t>
  </si>
</sst>
</file>

<file path=xl/styles.xml><?xml version="1.0" encoding="utf-8"?>
<styleSheet xmlns="http://schemas.openxmlformats.org/spreadsheetml/2006/main">
  <numFmts count="1">
    <numFmt numFmtId="164" formatCode="0.000"/>
  </numFmts>
  <fonts count="29">
    <font>
      <sz val="10"/>
      <name val="Arial Cyr"/>
      <charset val="204"/>
    </font>
    <font>
      <sz val="14"/>
      <name val="Arial Cyr"/>
      <family val="2"/>
      <charset val="204"/>
    </font>
    <font>
      <b/>
      <i/>
      <sz val="14"/>
      <name val="Times New Roman"/>
      <family val="1"/>
      <charset val="204"/>
    </font>
    <font>
      <i/>
      <sz val="14"/>
      <name val="Times New Roman"/>
      <family val="1"/>
      <charset val="204"/>
    </font>
    <font>
      <sz val="14"/>
      <name val="Times New Roman"/>
      <family val="1"/>
      <charset val="204"/>
    </font>
    <font>
      <b/>
      <sz val="14"/>
      <name val="Times New Roman"/>
      <family val="1"/>
      <charset val="204"/>
    </font>
    <font>
      <sz val="13"/>
      <name val="Times New Roman"/>
      <family val="1"/>
      <charset val="204"/>
    </font>
    <font>
      <b/>
      <i/>
      <sz val="16"/>
      <name val="Times New Roman"/>
      <family val="1"/>
      <charset val="204"/>
    </font>
    <font>
      <i/>
      <sz val="13"/>
      <name val="Times New Roman"/>
      <family val="1"/>
      <charset val="204"/>
    </font>
    <font>
      <sz val="16"/>
      <name val="Times New Roman"/>
      <family val="1"/>
      <charset val="204"/>
    </font>
    <font>
      <b/>
      <sz val="16"/>
      <name val="Times New Roman"/>
      <family val="1"/>
      <charset val="204"/>
    </font>
    <font>
      <sz val="16"/>
      <name val="Arial Cyr"/>
      <charset val="204"/>
    </font>
    <font>
      <b/>
      <i/>
      <sz val="18"/>
      <name val="Times New Roman"/>
      <family val="1"/>
      <charset val="204"/>
    </font>
    <font>
      <i/>
      <sz val="16"/>
      <name val="Times New Roman"/>
      <family val="1"/>
      <charset val="204"/>
    </font>
    <font>
      <sz val="14"/>
      <color indexed="10"/>
      <name val="Times New Roman"/>
      <family val="1"/>
      <charset val="204"/>
    </font>
    <font>
      <i/>
      <sz val="28"/>
      <name val="Times New Roman"/>
      <family val="1"/>
      <charset val="204"/>
    </font>
    <font>
      <i/>
      <sz val="36"/>
      <name val="Times New Roman"/>
      <family val="1"/>
      <charset val="204"/>
    </font>
    <font>
      <i/>
      <sz val="40"/>
      <name val="Times New Roman"/>
      <family val="1"/>
      <charset val="204"/>
    </font>
    <font>
      <i/>
      <sz val="18"/>
      <name val="Times New Roman"/>
      <family val="1"/>
      <charset val="204"/>
    </font>
    <font>
      <b/>
      <i/>
      <sz val="20"/>
      <name val="Times New Roman"/>
      <family val="1"/>
      <charset val="204"/>
    </font>
    <font>
      <sz val="20"/>
      <name val="Times New Roman"/>
      <family val="1"/>
      <charset val="204"/>
    </font>
    <font>
      <b/>
      <i/>
      <sz val="12"/>
      <name val="Times New Roman"/>
      <family val="1"/>
      <charset val="204"/>
    </font>
    <font>
      <b/>
      <i/>
      <sz val="13"/>
      <name val="Times New Roman"/>
      <family val="1"/>
      <charset val="204"/>
    </font>
    <font>
      <sz val="12"/>
      <name val="Arial Cyr"/>
      <charset val="204"/>
    </font>
    <font>
      <b/>
      <sz val="13"/>
      <name val="Times New Roman"/>
      <family val="1"/>
      <charset val="204"/>
    </font>
    <font>
      <i/>
      <sz val="12"/>
      <name val="Times New Roman"/>
      <family val="1"/>
      <charset val="204"/>
    </font>
    <font>
      <sz val="12"/>
      <name val="Times New Roman"/>
      <family val="1"/>
      <charset val="204"/>
    </font>
    <font>
      <i/>
      <sz val="12.5"/>
      <name val="Times New Roman"/>
      <family val="1"/>
      <charset val="204"/>
    </font>
    <font>
      <sz val="12.5"/>
      <name val="Times New Roman"/>
      <family val="1"/>
      <charset val="204"/>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1" fillId="0" borderId="0" xfId="0" applyFont="1"/>
    <xf numFmtId="0" fontId="0" fillId="0" borderId="0" xfId="0" applyFill="1"/>
    <xf numFmtId="49" fontId="0" fillId="0" borderId="0" xfId="0" applyNumberFormat="1"/>
    <xf numFmtId="0" fontId="3" fillId="0" borderId="0" xfId="0" applyFont="1" applyAlignment="1">
      <alignment horizontal="right"/>
    </xf>
    <xf numFmtId="0" fontId="4" fillId="0" borderId="0" xfId="0" applyFont="1"/>
    <xf numFmtId="0" fontId="4" fillId="0" borderId="0" xfId="0" applyFont="1" applyBorder="1"/>
    <xf numFmtId="4" fontId="4" fillId="0" borderId="0" xfId="0" applyNumberFormat="1" applyFont="1" applyFill="1" applyBorder="1" applyAlignment="1">
      <alignment horizontal="center" vertical="center"/>
    </xf>
    <xf numFmtId="49" fontId="4" fillId="0" borderId="0" xfId="0" applyNumberFormat="1" applyFont="1"/>
    <xf numFmtId="0" fontId="4" fillId="0" borderId="0" xfId="0" applyFont="1" applyFill="1"/>
    <xf numFmtId="0" fontId="7" fillId="0" borderId="0" xfId="0" applyFont="1"/>
    <xf numFmtId="0" fontId="5" fillId="2" borderId="1" xfId="0" applyFont="1" applyFill="1" applyBorder="1"/>
    <xf numFmtId="4" fontId="9" fillId="0" borderId="0" xfId="0" applyNumberFormat="1" applyFont="1" applyBorder="1" applyAlignment="1">
      <alignment horizontal="center" vertical="center"/>
    </xf>
    <xf numFmtId="0" fontId="10" fillId="0" borderId="0" xfId="0" applyFont="1" applyFill="1"/>
    <xf numFmtId="0" fontId="11" fillId="0" borderId="0" xfId="0" applyFont="1"/>
    <xf numFmtId="0" fontId="12" fillId="0" borderId="0" xfId="0" applyFont="1"/>
    <xf numFmtId="0" fontId="7" fillId="0" borderId="0" xfId="0" applyFont="1" applyAlignment="1">
      <alignment horizontal="center"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0" xfId="0" applyFont="1" applyAlignment="1">
      <alignment horizontal="left"/>
    </xf>
    <xf numFmtId="0" fontId="13" fillId="0" borderId="0" xfId="0" applyFont="1" applyAlignment="1">
      <alignment horizontal="center"/>
    </xf>
    <xf numFmtId="49" fontId="4" fillId="0" borderId="1"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4" fontId="4" fillId="0" borderId="0" xfId="0" applyNumberFormat="1" applyFont="1"/>
    <xf numFmtId="4" fontId="2" fillId="2" borderId="2"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xf numFmtId="4" fontId="2" fillId="3" borderId="6" xfId="0" applyNumberFormat="1" applyFont="1" applyFill="1" applyBorder="1" applyAlignment="1">
      <alignment horizontal="center" vertical="center"/>
    </xf>
    <xf numFmtId="2" fontId="0" fillId="0" borderId="0" xfId="0" applyNumberFormat="1"/>
    <xf numFmtId="0" fontId="2" fillId="0" borderId="0" xfId="0" applyFont="1" applyBorder="1" applyAlignment="1">
      <alignment horizontal="center" vertical="center" wrapText="1"/>
    </xf>
    <xf numFmtId="164" fontId="0" fillId="0" borderId="0" xfId="0" applyNumberFormat="1"/>
    <xf numFmtId="0" fontId="15" fillId="0" borderId="0" xfId="0" applyFont="1" applyAlignment="1">
      <alignment horizontal="left"/>
    </xf>
    <xf numFmtId="0" fontId="15" fillId="0" borderId="0" xfId="0" applyFont="1" applyAlignment="1">
      <alignment horizontal="center"/>
    </xf>
    <xf numFmtId="0" fontId="16" fillId="0" borderId="0" xfId="0" applyFont="1" applyAlignment="1">
      <alignment horizontal="left"/>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3" fillId="2" borderId="5" xfId="0" applyFont="1" applyFill="1" applyBorder="1" applyAlignment="1">
      <alignment vertical="center" wrapText="1"/>
    </xf>
    <xf numFmtId="0" fontId="6" fillId="0" borderId="2" xfId="0" applyFont="1" applyFill="1" applyBorder="1" applyAlignment="1">
      <alignment horizontal="left" vertical="center" wrapText="1"/>
    </xf>
    <xf numFmtId="0" fontId="5" fillId="2" borderId="7" xfId="0" applyFont="1" applyFill="1" applyBorder="1"/>
    <xf numFmtId="0" fontId="5" fillId="2" borderId="8" xfId="0" applyFont="1" applyFill="1" applyBorder="1"/>
    <xf numFmtId="4" fontId="5" fillId="2" borderId="2" xfId="0" applyNumberFormat="1" applyFont="1" applyFill="1" applyBorder="1" applyAlignment="1">
      <alignment horizontal="center" vertical="center"/>
    </xf>
    <xf numFmtId="4" fontId="4" fillId="0" borderId="2"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4" fontId="3" fillId="3" borderId="6" xfId="0" applyNumberFormat="1" applyFont="1" applyFill="1" applyBorder="1" applyAlignment="1">
      <alignment horizontal="center" vertical="center"/>
    </xf>
    <xf numFmtId="4" fontId="4" fillId="0" borderId="10" xfId="0" applyNumberFormat="1" applyFont="1" applyFill="1" applyBorder="1" applyAlignment="1">
      <alignment horizontal="center" vertical="center"/>
    </xf>
    <xf numFmtId="0" fontId="8" fillId="0" borderId="1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2" fillId="3" borderId="3" xfId="0" applyFont="1" applyFill="1" applyBorder="1" applyAlignment="1">
      <alignment horizontal="left" vertical="center" wrapText="1"/>
    </xf>
    <xf numFmtId="4" fontId="5" fillId="2" borderId="1" xfId="0" applyNumberFormat="1" applyFont="1" applyFill="1" applyBorder="1" applyAlignment="1">
      <alignment horizontal="center" vertical="center"/>
    </xf>
    <xf numFmtId="4" fontId="5" fillId="2" borderId="7" xfId="0" applyNumberFormat="1"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left"/>
    </xf>
    <xf numFmtId="4" fontId="19" fillId="0" borderId="0" xfId="0" applyNumberFormat="1" applyFont="1" applyFill="1" applyBorder="1" applyAlignment="1">
      <alignment horizontal="center"/>
    </xf>
    <xf numFmtId="4" fontId="5" fillId="0" borderId="0" xfId="0" applyNumberFormat="1" applyFont="1" applyFill="1" applyBorder="1" applyAlignment="1">
      <alignment horizontal="center" vertical="center"/>
    </xf>
    <xf numFmtId="4" fontId="3" fillId="0" borderId="9"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5" fillId="0" borderId="1" xfId="0" applyFont="1" applyFill="1" applyBorder="1"/>
    <xf numFmtId="0" fontId="6" fillId="0" borderId="1" xfId="0" applyFont="1" applyFill="1" applyBorder="1" applyAlignment="1">
      <alignment horizontal="left" vertical="center" wrapText="1"/>
    </xf>
    <xf numFmtId="4" fontId="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5" fillId="2" borderId="2" xfId="0" applyFont="1" applyFill="1" applyBorder="1"/>
    <xf numFmtId="0" fontId="5" fillId="2" borderId="4" xfId="0" applyFont="1" applyFill="1" applyBorder="1"/>
    <xf numFmtId="0" fontId="5" fillId="2" borderId="5" xfId="0" applyFont="1" applyFill="1" applyBorder="1"/>
    <xf numFmtId="49" fontId="4" fillId="0" borderId="2"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4" fontId="3" fillId="0" borderId="10"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wrapText="1"/>
    </xf>
    <xf numFmtId="49" fontId="3" fillId="3" borderId="11" xfId="0" applyNumberFormat="1" applyFont="1" applyFill="1" applyBorder="1" applyAlignment="1">
      <alignment horizontal="center" vertical="center" wrapText="1"/>
    </xf>
    <xf numFmtId="4" fontId="23" fillId="0" borderId="0" xfId="0" applyNumberFormat="1" applyFont="1"/>
    <xf numFmtId="4" fontId="3" fillId="0" borderId="0" xfId="0" applyNumberFormat="1" applyFont="1" applyFill="1" applyBorder="1" applyAlignment="1">
      <alignment horizontal="center" vertical="center"/>
    </xf>
    <xf numFmtId="4" fontId="0" fillId="0" borderId="0" xfId="0" applyNumberFormat="1"/>
    <xf numFmtId="49" fontId="4" fillId="0" borderId="3"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xf>
    <xf numFmtId="0" fontId="24" fillId="2" borderId="1" xfId="0" applyFont="1" applyFill="1" applyBorder="1"/>
    <xf numFmtId="0" fontId="5" fillId="2" borderId="1" xfId="0" applyFont="1" applyFill="1" applyBorder="1" applyAlignment="1">
      <alignment vertical="center" wrapText="1"/>
    </xf>
    <xf numFmtId="49" fontId="3" fillId="0" borderId="12"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2" fillId="0" borderId="3" xfId="0" applyFont="1" applyFill="1" applyBorder="1" applyAlignment="1">
      <alignment horizontal="left" vertical="center" wrapText="1"/>
    </xf>
    <xf numFmtId="4" fontId="2" fillId="0" borderId="0" xfId="0" applyNumberFormat="1" applyFont="1" applyBorder="1" applyAlignment="1">
      <alignment horizontal="center" vertical="center" wrapText="1"/>
    </xf>
    <xf numFmtId="4" fontId="0" fillId="0" borderId="0" xfId="0" applyNumberFormat="1" applyFill="1"/>
    <xf numFmtId="4" fontId="23" fillId="0" borderId="0" xfId="0" applyNumberFormat="1" applyFont="1" applyFill="1"/>
    <xf numFmtId="4" fontId="4" fillId="0" borderId="6"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49" fontId="2" fillId="3" borderId="12"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4" fontId="2" fillId="0" borderId="7" xfId="0"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xf>
    <xf numFmtId="4" fontId="5" fillId="0" borderId="3" xfId="0" applyNumberFormat="1" applyFont="1" applyFill="1" applyBorder="1" applyAlignment="1">
      <alignment horizontal="center" vertical="center"/>
    </xf>
    <xf numFmtId="49" fontId="3" fillId="3" borderId="12"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49" fontId="3" fillId="0" borderId="6" xfId="0" applyNumberFormat="1" applyFont="1" applyFill="1" applyBorder="1" applyAlignment="1">
      <alignment horizontal="center" vertical="center" wrapText="1"/>
    </xf>
    <xf numFmtId="0" fontId="25" fillId="0" borderId="3" xfId="0"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4" fontId="8" fillId="0" borderId="9" xfId="0" applyNumberFormat="1" applyFont="1" applyFill="1" applyBorder="1" applyAlignment="1">
      <alignment horizontal="center" vertical="center"/>
    </xf>
    <xf numFmtId="0" fontId="25" fillId="0" borderId="15"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3" fillId="0" borderId="0" xfId="0" applyFont="1" applyFill="1"/>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9" xfId="0" applyFont="1" applyFill="1" applyBorder="1" applyAlignment="1">
      <alignment horizontal="left" vertical="center" wrapText="1"/>
    </xf>
    <xf numFmtId="0" fontId="28" fillId="4" borderId="8" xfId="0" applyNumberFormat="1" applyFont="1" applyFill="1" applyBorder="1" applyAlignment="1">
      <alignment vertical="top" wrapText="1"/>
    </xf>
    <xf numFmtId="4" fontId="4" fillId="0" borderId="8" xfId="0" applyNumberFormat="1" applyFont="1" applyFill="1" applyBorder="1" applyAlignment="1">
      <alignment horizontal="center" vertical="center"/>
    </xf>
    <xf numFmtId="0" fontId="19" fillId="0" borderId="0" xfId="0" applyFont="1" applyAlignment="1">
      <alignment horizontal="left"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1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4"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81"/>
  <sheetViews>
    <sheetView tabSelected="1" zoomScale="85" zoomScaleNormal="85" zoomScaleSheetLayoutView="89" workbookViewId="0">
      <selection activeCell="A4" sqref="A4:F4"/>
    </sheetView>
  </sheetViews>
  <sheetFormatPr defaultRowHeight="12.75"/>
  <cols>
    <col min="1" max="1" width="15.7109375" customWidth="1"/>
    <col min="2" max="2" width="14.140625" customWidth="1"/>
    <col min="3" max="3" width="44.85546875" customWidth="1"/>
    <col min="4" max="4" width="21.7109375" customWidth="1"/>
    <col min="5" max="5" width="18.5703125" customWidth="1"/>
    <col min="6" max="6" width="21.42578125" customWidth="1"/>
    <col min="7" max="7" width="22" customWidth="1"/>
    <col min="8" max="8" width="15.7109375" customWidth="1"/>
    <col min="9" max="9" width="17.7109375" bestFit="1" customWidth="1"/>
    <col min="10" max="10" width="15.28515625" customWidth="1"/>
    <col min="11" max="11" width="18.5703125" customWidth="1"/>
  </cols>
  <sheetData>
    <row r="1" spans="1:8" ht="27" customHeight="1">
      <c r="A1" s="5"/>
      <c r="B1" s="5"/>
      <c r="C1" s="5"/>
      <c r="D1" s="53" t="s">
        <v>29</v>
      </c>
      <c r="E1" s="52"/>
      <c r="F1" s="33"/>
      <c r="G1" s="20"/>
    </row>
    <row r="2" spans="1:8" ht="24" customHeight="1">
      <c r="A2" s="5"/>
      <c r="B2" s="5"/>
      <c r="C2" s="5"/>
      <c r="D2" s="53" t="s">
        <v>24</v>
      </c>
      <c r="E2" s="35"/>
      <c r="F2" s="34"/>
      <c r="G2" s="21"/>
    </row>
    <row r="3" spans="1:8" ht="18.75" customHeight="1">
      <c r="A3" s="5"/>
      <c r="B3" s="5"/>
      <c r="C3" s="5"/>
      <c r="D3" s="20" t="s">
        <v>200</v>
      </c>
      <c r="E3" s="20"/>
      <c r="F3" s="21"/>
      <c r="G3" s="21"/>
    </row>
    <row r="4" spans="1:8" ht="26.25" customHeight="1">
      <c r="A4" s="123" t="s">
        <v>12</v>
      </c>
      <c r="B4" s="123"/>
      <c r="C4" s="124"/>
      <c r="D4" s="124"/>
      <c r="E4" s="124"/>
      <c r="F4" s="124"/>
      <c r="G4" s="17"/>
      <c r="H4" s="1"/>
    </row>
    <row r="5" spans="1:8" ht="12" customHeight="1">
      <c r="A5" s="16"/>
      <c r="B5" s="16"/>
      <c r="C5" s="17"/>
      <c r="D5" s="17"/>
      <c r="E5" s="17"/>
      <c r="F5" s="17"/>
      <c r="G5" s="17"/>
      <c r="H5" s="1"/>
    </row>
    <row r="6" spans="1:8" ht="15" customHeight="1" thickBot="1">
      <c r="A6" s="5"/>
      <c r="B6" s="5"/>
      <c r="C6" s="5"/>
      <c r="D6" s="6"/>
      <c r="E6" s="6"/>
      <c r="F6" s="4" t="s">
        <v>0</v>
      </c>
      <c r="G6" s="4"/>
    </row>
    <row r="7" spans="1:8" ht="113.25" customHeight="1">
      <c r="A7" s="127" t="s">
        <v>19</v>
      </c>
      <c r="B7" s="127" t="s">
        <v>26</v>
      </c>
      <c r="C7" s="125" t="s">
        <v>1</v>
      </c>
      <c r="D7" s="125" t="s">
        <v>186</v>
      </c>
      <c r="E7" s="125" t="s">
        <v>3</v>
      </c>
      <c r="F7" s="125" t="s">
        <v>13</v>
      </c>
      <c r="G7" s="31"/>
    </row>
    <row r="8" spans="1:8" ht="12" customHeight="1" thickBot="1">
      <c r="A8" s="128" t="s">
        <v>2</v>
      </c>
      <c r="B8" s="128"/>
      <c r="C8" s="126"/>
      <c r="D8" s="126"/>
      <c r="E8" s="126"/>
      <c r="F8" s="126"/>
      <c r="G8" s="31"/>
    </row>
    <row r="9" spans="1:8" ht="18.75" customHeight="1" thickBot="1">
      <c r="A9" s="18">
        <v>1</v>
      </c>
      <c r="B9" s="19">
        <v>2</v>
      </c>
      <c r="C9" s="19">
        <v>3</v>
      </c>
      <c r="D9" s="19">
        <v>4</v>
      </c>
      <c r="E9" s="19">
        <v>5</v>
      </c>
      <c r="F9" s="19">
        <v>6</v>
      </c>
      <c r="G9" s="31"/>
    </row>
    <row r="10" spans="1:8" ht="27" customHeight="1" thickBot="1">
      <c r="A10" s="11"/>
      <c r="B10" s="79"/>
      <c r="C10" s="80" t="s">
        <v>31</v>
      </c>
      <c r="D10" s="50">
        <v>5573123154.5900002</v>
      </c>
      <c r="E10" s="50">
        <f>E11+E21+E24</f>
        <v>138482348</v>
      </c>
      <c r="F10" s="50">
        <f t="shared" ref="F10:F17" si="0">D10+E10</f>
        <v>5711605502.5900002</v>
      </c>
      <c r="G10" s="87"/>
    </row>
    <row r="11" spans="1:8" ht="25.5" customHeight="1">
      <c r="A11" s="85"/>
      <c r="B11" s="85">
        <v>10000000</v>
      </c>
      <c r="C11" s="96" t="s">
        <v>32</v>
      </c>
      <c r="D11" s="98">
        <v>2907456033</v>
      </c>
      <c r="E11" s="98">
        <f>+E12+E18</f>
        <v>128708000</v>
      </c>
      <c r="F11" s="98">
        <f t="shared" si="0"/>
        <v>3036164033</v>
      </c>
      <c r="G11" s="31"/>
    </row>
    <row r="12" spans="1:8" ht="42" customHeight="1">
      <c r="A12" s="66"/>
      <c r="B12" s="66">
        <v>11000000</v>
      </c>
      <c r="C12" s="48" t="s">
        <v>33</v>
      </c>
      <c r="D12" s="46">
        <v>1727228503</v>
      </c>
      <c r="E12" s="46">
        <f>+E13</f>
        <v>112808000</v>
      </c>
      <c r="F12" s="46">
        <f>D12+E12</f>
        <v>1840036503</v>
      </c>
      <c r="G12" s="31"/>
    </row>
    <row r="13" spans="1:8" ht="33.75" customHeight="1">
      <c r="A13" s="84"/>
      <c r="B13" s="84">
        <v>11010000</v>
      </c>
      <c r="C13" s="47" t="s">
        <v>34</v>
      </c>
      <c r="D13" s="68">
        <v>1722747503</v>
      </c>
      <c r="E13" s="68">
        <f>E14+E16+E17+E15</f>
        <v>112808000</v>
      </c>
      <c r="F13" s="68">
        <f>D13+E13</f>
        <v>1835555503</v>
      </c>
      <c r="G13" s="31"/>
    </row>
    <row r="14" spans="1:8" ht="66" customHeight="1">
      <c r="A14" s="84"/>
      <c r="B14" s="84">
        <v>11010100</v>
      </c>
      <c r="C14" s="47" t="s">
        <v>35</v>
      </c>
      <c r="D14" s="68">
        <v>1613087503</v>
      </c>
      <c r="E14" s="68">
        <f>114258000+6000000</f>
        <v>120258000</v>
      </c>
      <c r="F14" s="68">
        <f t="shared" si="0"/>
        <v>1733345503</v>
      </c>
      <c r="G14" s="31"/>
    </row>
    <row r="15" spans="1:8" ht="119.25" customHeight="1">
      <c r="A15" s="84"/>
      <c r="B15" s="84">
        <v>11010200</v>
      </c>
      <c r="C15" s="47" t="s">
        <v>182</v>
      </c>
      <c r="D15" s="68">
        <v>72800000</v>
      </c>
      <c r="E15" s="68">
        <v>-10000000</v>
      </c>
      <c r="F15" s="68">
        <f t="shared" si="0"/>
        <v>62800000</v>
      </c>
      <c r="G15" s="31"/>
    </row>
    <row r="16" spans="1:8" ht="75" customHeight="1">
      <c r="A16" s="84"/>
      <c r="B16" s="84">
        <v>11010400</v>
      </c>
      <c r="C16" s="47" t="s">
        <v>81</v>
      </c>
      <c r="D16" s="68">
        <v>19100000</v>
      </c>
      <c r="E16" s="68">
        <v>2200000</v>
      </c>
      <c r="F16" s="68">
        <f t="shared" si="0"/>
        <v>21300000</v>
      </c>
      <c r="G16" s="31"/>
    </row>
    <row r="17" spans="1:8" ht="99.75" customHeight="1">
      <c r="A17" s="84"/>
      <c r="B17" s="84" t="s">
        <v>183</v>
      </c>
      <c r="C17" s="47" t="s">
        <v>184</v>
      </c>
      <c r="D17" s="68">
        <v>260000</v>
      </c>
      <c r="E17" s="68">
        <v>350000</v>
      </c>
      <c r="F17" s="68">
        <f t="shared" si="0"/>
        <v>610000</v>
      </c>
      <c r="G17" s="31"/>
    </row>
    <row r="18" spans="1:8" ht="20.25" customHeight="1">
      <c r="A18" s="84"/>
      <c r="B18" s="66">
        <v>18000000</v>
      </c>
      <c r="C18" s="48" t="s">
        <v>47</v>
      </c>
      <c r="D18" s="46">
        <v>946492500</v>
      </c>
      <c r="E18" s="46">
        <f>+E19</f>
        <v>15900000</v>
      </c>
      <c r="F18" s="46">
        <f>+D18+E18</f>
        <v>962392500</v>
      </c>
      <c r="G18" s="31"/>
    </row>
    <row r="19" spans="1:8" ht="22.5" customHeight="1">
      <c r="A19" s="84"/>
      <c r="B19" s="84">
        <v>18050000</v>
      </c>
      <c r="C19" s="47" t="s">
        <v>48</v>
      </c>
      <c r="D19" s="68">
        <v>40920600</v>
      </c>
      <c r="E19" s="68">
        <f>+E20</f>
        <v>15900000</v>
      </c>
      <c r="F19" s="68">
        <f>+E19+D19</f>
        <v>56820600</v>
      </c>
      <c r="G19" s="31"/>
    </row>
    <row r="20" spans="1:8" ht="25.5" customHeight="1">
      <c r="A20" s="84"/>
      <c r="B20" s="84">
        <v>18050400</v>
      </c>
      <c r="C20" s="47" t="s">
        <v>49</v>
      </c>
      <c r="D20" s="68">
        <v>30840500</v>
      </c>
      <c r="E20" s="68">
        <v>15900000</v>
      </c>
      <c r="F20" s="68">
        <f>+D20+E20</f>
        <v>46740500</v>
      </c>
      <c r="G20" s="31"/>
    </row>
    <row r="21" spans="1:8" ht="31.5" customHeight="1">
      <c r="A21" s="84"/>
      <c r="B21" s="83" t="s">
        <v>50</v>
      </c>
      <c r="C21" s="97" t="s">
        <v>51</v>
      </c>
      <c r="D21" s="99">
        <v>54718099</v>
      </c>
      <c r="E21" s="99">
        <f>+E22</f>
        <v>10600000</v>
      </c>
      <c r="F21" s="99">
        <f>+E21+D21</f>
        <v>65318099</v>
      </c>
      <c r="G21" s="31"/>
    </row>
    <row r="22" spans="1:8" ht="48" customHeight="1">
      <c r="A22" s="84"/>
      <c r="B22" s="83" t="s">
        <v>52</v>
      </c>
      <c r="C22" s="97" t="s">
        <v>185</v>
      </c>
      <c r="D22" s="99">
        <v>14768000</v>
      </c>
      <c r="E22" s="99">
        <f>+E23</f>
        <v>10600000</v>
      </c>
      <c r="F22" s="99">
        <f>D22+E22</f>
        <v>25368000</v>
      </c>
      <c r="G22" s="31"/>
    </row>
    <row r="23" spans="1:8" ht="36" customHeight="1">
      <c r="A23" s="84"/>
      <c r="B23" s="84" t="s">
        <v>53</v>
      </c>
      <c r="C23" s="47" t="s">
        <v>54</v>
      </c>
      <c r="D23" s="68">
        <v>16430000</v>
      </c>
      <c r="E23" s="68">
        <v>10600000</v>
      </c>
      <c r="F23" s="68">
        <f>D23+E23</f>
        <v>27030000</v>
      </c>
      <c r="G23" s="31"/>
    </row>
    <row r="24" spans="1:8" ht="51.75" customHeight="1">
      <c r="A24" s="85"/>
      <c r="B24" s="85" t="s">
        <v>61</v>
      </c>
      <c r="C24" s="86" t="s">
        <v>60</v>
      </c>
      <c r="D24" s="100">
        <f>D25</f>
        <v>2607640950.5900002</v>
      </c>
      <c r="E24" s="100">
        <f>E25</f>
        <v>-825652</v>
      </c>
      <c r="F24" s="100">
        <f>D24+E24</f>
        <v>2606815298.5900002</v>
      </c>
      <c r="G24" s="31"/>
    </row>
    <row r="25" spans="1:8" ht="26.25" customHeight="1">
      <c r="A25" s="82"/>
      <c r="B25" s="82" t="s">
        <v>63</v>
      </c>
      <c r="C25" s="95" t="s">
        <v>62</v>
      </c>
      <c r="D25" s="102">
        <f>2607640950.59</f>
        <v>2607640950.5900002</v>
      </c>
      <c r="E25" s="101">
        <f>SUM(E26:E26)</f>
        <v>-825652</v>
      </c>
      <c r="F25" s="101">
        <f t="shared" ref="F25:F26" si="1">D25+E25</f>
        <v>2606815298.5900002</v>
      </c>
      <c r="G25" s="31"/>
    </row>
    <row r="26" spans="1:8" ht="287.25" customHeight="1" thickBot="1">
      <c r="A26" s="83"/>
      <c r="B26" s="66">
        <v>41036100</v>
      </c>
      <c r="C26" s="120" t="s">
        <v>170</v>
      </c>
      <c r="D26" s="121">
        <v>825652</v>
      </c>
      <c r="E26" s="121">
        <v>-825652</v>
      </c>
      <c r="F26" s="121">
        <f t="shared" si="1"/>
        <v>0</v>
      </c>
      <c r="G26" s="31"/>
    </row>
    <row r="27" spans="1:8" ht="45.75" customHeight="1" thickBot="1">
      <c r="A27" s="11"/>
      <c r="B27" s="11"/>
      <c r="C27" s="36" t="s">
        <v>37</v>
      </c>
      <c r="D27" s="42">
        <f>5762490189.7+2468648.09</f>
        <v>5764958837.79</v>
      </c>
      <c r="E27" s="42">
        <f>E10</f>
        <v>138482348</v>
      </c>
      <c r="F27" s="42">
        <f t="shared" ref="F27" si="2">D27+E27</f>
        <v>5903441185.79</v>
      </c>
      <c r="G27" s="31"/>
    </row>
    <row r="28" spans="1:8" ht="46.5" customHeight="1" thickBot="1">
      <c r="A28" s="11"/>
      <c r="B28" s="11"/>
      <c r="C28" s="36" t="s">
        <v>8</v>
      </c>
      <c r="D28" s="50">
        <f>349433+5298006828.07-162680</f>
        <v>5298193581.0699997</v>
      </c>
      <c r="E28" s="42">
        <f>E29+E35+E49+E58+E66+E70+E80+E85</f>
        <v>184033233</v>
      </c>
      <c r="F28" s="50">
        <f t="shared" ref="F28:F36" si="3">D28+E28</f>
        <v>5482226814.0699997</v>
      </c>
      <c r="G28" s="55"/>
      <c r="H28" s="2"/>
    </row>
    <row r="29" spans="1:8" ht="41.25" customHeight="1">
      <c r="A29" s="69" t="s">
        <v>103</v>
      </c>
      <c r="B29" s="49"/>
      <c r="C29" s="116" t="s">
        <v>105</v>
      </c>
      <c r="D29" s="29">
        <f>D30</f>
        <v>131472010</v>
      </c>
      <c r="E29" s="29">
        <f>E30</f>
        <v>13451437</v>
      </c>
      <c r="F29" s="29">
        <f t="shared" ref="F29:F32" si="4">D29+E29</f>
        <v>144923447</v>
      </c>
      <c r="G29" s="55"/>
      <c r="H29" s="2"/>
    </row>
    <row r="30" spans="1:8" ht="42" customHeight="1">
      <c r="A30" s="69" t="s">
        <v>104</v>
      </c>
      <c r="B30" s="49"/>
      <c r="C30" s="116" t="s">
        <v>105</v>
      </c>
      <c r="D30" s="29">
        <v>131472010</v>
      </c>
      <c r="E30" s="29">
        <f>E32+E34</f>
        <v>13451437</v>
      </c>
      <c r="F30" s="29">
        <f t="shared" si="4"/>
        <v>144923447</v>
      </c>
      <c r="G30" s="55"/>
      <c r="H30" s="2"/>
    </row>
    <row r="31" spans="1:8" ht="22.5" customHeight="1">
      <c r="A31" s="70"/>
      <c r="B31" s="67"/>
      <c r="C31" s="117" t="s">
        <v>38</v>
      </c>
      <c r="D31" s="45">
        <v>71634043</v>
      </c>
      <c r="E31" s="45">
        <f>E33</f>
        <v>8981422</v>
      </c>
      <c r="F31" s="45">
        <f>D31+E31</f>
        <v>80615465</v>
      </c>
      <c r="G31" s="55"/>
      <c r="H31" s="2"/>
    </row>
    <row r="32" spans="1:8" ht="34.5" customHeight="1">
      <c r="A32" s="66" t="s">
        <v>107</v>
      </c>
      <c r="B32" s="66" t="s">
        <v>108</v>
      </c>
      <c r="C32" s="118" t="s">
        <v>106</v>
      </c>
      <c r="D32" s="44">
        <v>124428088</v>
      </c>
      <c r="E32" s="44">
        <f>E33</f>
        <v>8981422</v>
      </c>
      <c r="F32" s="44">
        <f t="shared" si="4"/>
        <v>133409510</v>
      </c>
      <c r="G32" s="55"/>
      <c r="H32" s="2"/>
    </row>
    <row r="33" spans="1:9" ht="25.5" customHeight="1">
      <c r="A33" s="81"/>
      <c r="B33" s="77"/>
      <c r="C33" s="119" t="s">
        <v>38</v>
      </c>
      <c r="D33" s="56">
        <v>71634043</v>
      </c>
      <c r="E33" s="56">
        <f>8981422</f>
        <v>8981422</v>
      </c>
      <c r="F33" s="56">
        <f>D33+E33</f>
        <v>80615465</v>
      </c>
      <c r="G33" s="55"/>
      <c r="H33" s="2"/>
    </row>
    <row r="34" spans="1:9" ht="72" customHeight="1">
      <c r="A34" s="75" t="s">
        <v>118</v>
      </c>
      <c r="B34" s="66" t="s">
        <v>117</v>
      </c>
      <c r="C34" s="118" t="s">
        <v>116</v>
      </c>
      <c r="D34" s="90">
        <v>0</v>
      </c>
      <c r="E34" s="90">
        <f>4474015-4000</f>
        <v>4470015</v>
      </c>
      <c r="F34" s="44">
        <f>D34+E34</f>
        <v>4470015</v>
      </c>
      <c r="G34" s="55"/>
      <c r="H34" s="2"/>
    </row>
    <row r="35" spans="1:9" ht="36.75" customHeight="1">
      <c r="A35" s="69" t="s">
        <v>17</v>
      </c>
      <c r="B35" s="49"/>
      <c r="C35" s="49" t="s">
        <v>16</v>
      </c>
      <c r="D35" s="29">
        <f>D36</f>
        <v>1677382062</v>
      </c>
      <c r="E35" s="29">
        <f>E36</f>
        <v>1373913</v>
      </c>
      <c r="F35" s="29">
        <f t="shared" si="3"/>
        <v>1678755975</v>
      </c>
      <c r="G35" s="7"/>
      <c r="H35" s="2"/>
    </row>
    <row r="36" spans="1:9" ht="36" customHeight="1">
      <c r="A36" s="69" t="s">
        <v>18</v>
      </c>
      <c r="B36" s="49"/>
      <c r="C36" s="49" t="s">
        <v>16</v>
      </c>
      <c r="D36" s="29">
        <f>1677124162+257900</f>
        <v>1677382062</v>
      </c>
      <c r="E36" s="29">
        <f>E39+E40+E41+E42+E45+E46+E47</f>
        <v>1373913</v>
      </c>
      <c r="F36" s="29">
        <f t="shared" si="3"/>
        <v>1678755975</v>
      </c>
      <c r="G36" s="72"/>
      <c r="H36" s="2"/>
    </row>
    <row r="37" spans="1:9" ht="24.75" customHeight="1">
      <c r="A37" s="70"/>
      <c r="B37" s="67"/>
      <c r="C37" s="67" t="s">
        <v>38</v>
      </c>
      <c r="D37" s="45">
        <v>1047824460</v>
      </c>
      <c r="E37" s="45">
        <f>E43</f>
        <v>65482</v>
      </c>
      <c r="F37" s="45">
        <f>D37+E37</f>
        <v>1047889942</v>
      </c>
      <c r="G37" s="72"/>
      <c r="H37" s="2"/>
    </row>
    <row r="38" spans="1:9" ht="24.75" customHeight="1">
      <c r="A38" s="103"/>
      <c r="B38" s="67"/>
      <c r="C38" s="67" t="s">
        <v>91</v>
      </c>
      <c r="D38" s="45">
        <v>202871014</v>
      </c>
      <c r="E38" s="45">
        <f>E44</f>
        <v>9018</v>
      </c>
      <c r="F38" s="45">
        <f>D38+E38</f>
        <v>202880032</v>
      </c>
      <c r="G38" s="72"/>
      <c r="H38" s="2"/>
    </row>
    <row r="39" spans="1:9" ht="24.75" customHeight="1">
      <c r="A39" s="66" t="s">
        <v>22</v>
      </c>
      <c r="B39" s="66" t="s">
        <v>64</v>
      </c>
      <c r="C39" s="48" t="s">
        <v>20</v>
      </c>
      <c r="D39" s="44">
        <f>557942107+102000</f>
        <v>558044107</v>
      </c>
      <c r="E39" s="44">
        <f>244076</f>
        <v>244076</v>
      </c>
      <c r="F39" s="44">
        <f t="shared" ref="F39:F48" si="5">D39+E39</f>
        <v>558288183</v>
      </c>
      <c r="G39" s="72"/>
      <c r="H39" s="2"/>
    </row>
    <row r="40" spans="1:9" ht="102" customHeight="1">
      <c r="A40" s="66" t="s">
        <v>23</v>
      </c>
      <c r="B40" s="66">
        <v>1020</v>
      </c>
      <c r="C40" s="48" t="s">
        <v>21</v>
      </c>
      <c r="D40" s="44">
        <f>857236204+109900</f>
        <v>857346104</v>
      </c>
      <c r="E40" s="44">
        <f>1184454-154350</f>
        <v>1030104</v>
      </c>
      <c r="F40" s="44">
        <f t="shared" si="5"/>
        <v>858376208</v>
      </c>
      <c r="G40" s="7"/>
      <c r="H40" s="7"/>
      <c r="I40" s="7"/>
    </row>
    <row r="41" spans="1:9" ht="71.25" customHeight="1">
      <c r="A41" s="66" t="s">
        <v>40</v>
      </c>
      <c r="B41" s="66" t="s">
        <v>41</v>
      </c>
      <c r="C41" s="48" t="s">
        <v>39</v>
      </c>
      <c r="D41" s="44">
        <f>45960046</f>
        <v>45960046</v>
      </c>
      <c r="E41" s="44">
        <f>-40185</f>
        <v>-40185</v>
      </c>
      <c r="F41" s="44">
        <f t="shared" ref="F41" si="6">D41+E41</f>
        <v>45919861</v>
      </c>
      <c r="G41" s="55"/>
      <c r="H41" s="2"/>
    </row>
    <row r="42" spans="1:9" ht="53.25" customHeight="1">
      <c r="A42" s="66" t="s">
        <v>82</v>
      </c>
      <c r="B42" s="66" t="s">
        <v>83</v>
      </c>
      <c r="C42" s="48" t="s">
        <v>84</v>
      </c>
      <c r="D42" s="44">
        <f>88752399+40000</f>
        <v>88792399</v>
      </c>
      <c r="E42" s="44">
        <f>479712+154350</f>
        <v>634062</v>
      </c>
      <c r="F42" s="44">
        <f t="shared" ref="F42" si="7">D42+E42</f>
        <v>89426461</v>
      </c>
      <c r="G42" s="7"/>
      <c r="H42" s="7"/>
    </row>
    <row r="43" spans="1:9" ht="23.25" customHeight="1">
      <c r="A43" s="81"/>
      <c r="B43" s="77"/>
      <c r="C43" s="47" t="s">
        <v>38</v>
      </c>
      <c r="D43" s="56">
        <v>55421651</v>
      </c>
      <c r="E43" s="56">
        <f>65482</f>
        <v>65482</v>
      </c>
      <c r="F43" s="56">
        <f>D43+E43</f>
        <v>55487133</v>
      </c>
      <c r="G43" s="7"/>
      <c r="H43" s="7"/>
    </row>
    <row r="44" spans="1:9" ht="23.25" customHeight="1">
      <c r="A44" s="81"/>
      <c r="B44" s="77"/>
      <c r="C44" s="47" t="s">
        <v>68</v>
      </c>
      <c r="D44" s="78">
        <v>9859407</v>
      </c>
      <c r="E44" s="78">
        <f>9018</f>
        <v>9018</v>
      </c>
      <c r="F44" s="56">
        <f>D44+E44</f>
        <v>9868425</v>
      </c>
      <c r="G44" s="7"/>
      <c r="H44" s="7"/>
    </row>
    <row r="45" spans="1:9" ht="60" customHeight="1">
      <c r="A45" s="66" t="s">
        <v>65</v>
      </c>
      <c r="B45" s="66" t="s">
        <v>66</v>
      </c>
      <c r="C45" s="48" t="s">
        <v>67</v>
      </c>
      <c r="D45" s="44">
        <v>45057731</v>
      </c>
      <c r="E45" s="44">
        <f>-1119000</f>
        <v>-1119000</v>
      </c>
      <c r="F45" s="44">
        <f t="shared" ref="F45:F46" si="8">D45+E45</f>
        <v>43938731</v>
      </c>
      <c r="G45" s="7"/>
      <c r="H45" s="7"/>
    </row>
    <row r="46" spans="1:9" ht="90" customHeight="1">
      <c r="A46" s="66" t="s">
        <v>97</v>
      </c>
      <c r="B46" s="66" t="s">
        <v>98</v>
      </c>
      <c r="C46" s="48" t="s">
        <v>96</v>
      </c>
      <c r="D46" s="90">
        <v>15750</v>
      </c>
      <c r="E46" s="90">
        <f>1410</f>
        <v>1410</v>
      </c>
      <c r="F46" s="44">
        <f t="shared" si="8"/>
        <v>17160</v>
      </c>
      <c r="G46" s="7"/>
      <c r="H46" s="7"/>
    </row>
    <row r="47" spans="1:9" ht="36.75" customHeight="1">
      <c r="A47" s="66">
        <v>1015030</v>
      </c>
      <c r="B47" s="66" t="s">
        <v>92</v>
      </c>
      <c r="C47" s="48" t="s">
        <v>93</v>
      </c>
      <c r="D47" s="90">
        <f>D48</f>
        <v>41412051</v>
      </c>
      <c r="E47" s="90">
        <f>E48</f>
        <v>623446</v>
      </c>
      <c r="F47" s="44">
        <f t="shared" si="5"/>
        <v>42035497</v>
      </c>
      <c r="G47" s="7"/>
      <c r="H47" s="7"/>
    </row>
    <row r="48" spans="1:9" ht="57.75" customHeight="1">
      <c r="A48" s="84">
        <v>1015031</v>
      </c>
      <c r="B48" s="84" t="s">
        <v>94</v>
      </c>
      <c r="C48" s="47" t="s">
        <v>95</v>
      </c>
      <c r="D48" s="78">
        <f>41406051+6000</f>
        <v>41412051</v>
      </c>
      <c r="E48" s="78">
        <f>222446+50000+81000+270000</f>
        <v>623446</v>
      </c>
      <c r="F48" s="56">
        <f t="shared" si="5"/>
        <v>42035497</v>
      </c>
      <c r="G48" s="7"/>
      <c r="H48" s="7"/>
    </row>
    <row r="49" spans="1:8" ht="59.25" customHeight="1">
      <c r="A49" s="69" t="s">
        <v>56</v>
      </c>
      <c r="B49" s="49"/>
      <c r="C49" s="49" t="s">
        <v>58</v>
      </c>
      <c r="D49" s="29">
        <f>D50</f>
        <v>740575670.48000002</v>
      </c>
      <c r="E49" s="29">
        <f>E50</f>
        <v>48132038</v>
      </c>
      <c r="F49" s="29">
        <f t="shared" ref="F49:F57" si="9">D49+E49</f>
        <v>788707708.48000002</v>
      </c>
      <c r="G49" s="7"/>
      <c r="H49" s="7"/>
    </row>
    <row r="50" spans="1:8" ht="57.75" customHeight="1">
      <c r="A50" s="69" t="s">
        <v>57</v>
      </c>
      <c r="B50" s="49"/>
      <c r="C50" s="49" t="s">
        <v>58</v>
      </c>
      <c r="D50" s="29">
        <f>740575670.48</f>
        <v>740575670.48000002</v>
      </c>
      <c r="E50" s="29">
        <f>SUM(E51:E56)</f>
        <v>48132038</v>
      </c>
      <c r="F50" s="29">
        <f t="shared" si="9"/>
        <v>788707708.48000002</v>
      </c>
      <c r="G50" s="7"/>
      <c r="H50" s="7"/>
    </row>
    <row r="51" spans="1:8" ht="37.5" customHeight="1">
      <c r="A51" s="66">
        <v>1412010</v>
      </c>
      <c r="B51" s="66" t="s">
        <v>69</v>
      </c>
      <c r="C51" s="48" t="s">
        <v>71</v>
      </c>
      <c r="D51" s="90">
        <v>437502571</v>
      </c>
      <c r="E51" s="90">
        <f>11096500+29961386</f>
        <v>41057886</v>
      </c>
      <c r="F51" s="44">
        <f>D51+E51</f>
        <v>478560457</v>
      </c>
      <c r="G51" s="7"/>
      <c r="H51" s="7"/>
    </row>
    <row r="52" spans="1:8" ht="41.25" customHeight="1">
      <c r="A52" s="66">
        <v>1412050</v>
      </c>
      <c r="B52" s="66" t="s">
        <v>134</v>
      </c>
      <c r="C52" s="48" t="s">
        <v>131</v>
      </c>
      <c r="D52" s="90">
        <v>53557750</v>
      </c>
      <c r="E52" s="90">
        <f>770000+2327400</f>
        <v>3097400</v>
      </c>
      <c r="F52" s="44">
        <f t="shared" ref="F52:F53" si="10">D52+E52</f>
        <v>56655150</v>
      </c>
      <c r="G52" s="7"/>
      <c r="H52" s="7"/>
    </row>
    <row r="53" spans="1:8" ht="38.25" customHeight="1">
      <c r="A53" s="66">
        <v>1412120</v>
      </c>
      <c r="B53" s="66" t="s">
        <v>135</v>
      </c>
      <c r="C53" s="48" t="s">
        <v>132</v>
      </c>
      <c r="D53" s="90">
        <v>5599254</v>
      </c>
      <c r="E53" s="90">
        <f>100000+1075000</f>
        <v>1175000</v>
      </c>
      <c r="F53" s="44">
        <f t="shared" si="10"/>
        <v>6774254</v>
      </c>
      <c r="G53" s="7"/>
      <c r="H53" s="7"/>
    </row>
    <row r="54" spans="1:8" ht="38.25" customHeight="1">
      <c r="A54" s="66">
        <v>1412140</v>
      </c>
      <c r="B54" s="66" t="s">
        <v>136</v>
      </c>
      <c r="C54" s="48" t="s">
        <v>133</v>
      </c>
      <c r="D54" s="90">
        <v>33219056</v>
      </c>
      <c r="E54" s="90">
        <f>538800+1401050</f>
        <v>1939850</v>
      </c>
      <c r="F54" s="44">
        <f t="shared" si="9"/>
        <v>35158906</v>
      </c>
      <c r="G54" s="7"/>
      <c r="H54" s="7"/>
    </row>
    <row r="55" spans="1:8" ht="33" customHeight="1">
      <c r="A55" s="66" t="s">
        <v>171</v>
      </c>
      <c r="B55" s="66" t="s">
        <v>90</v>
      </c>
      <c r="C55" s="48" t="s">
        <v>88</v>
      </c>
      <c r="D55" s="90">
        <v>357000</v>
      </c>
      <c r="E55" s="90">
        <v>-38098</v>
      </c>
      <c r="F55" s="44">
        <f t="shared" si="9"/>
        <v>318902</v>
      </c>
      <c r="G55" s="7"/>
      <c r="H55" s="7"/>
    </row>
    <row r="56" spans="1:8" ht="28.5" customHeight="1">
      <c r="A56" s="66">
        <v>1418800</v>
      </c>
      <c r="B56" s="66" t="s">
        <v>59</v>
      </c>
      <c r="C56" s="48" t="s">
        <v>137</v>
      </c>
      <c r="D56" s="90">
        <v>2504261</v>
      </c>
      <c r="E56" s="90">
        <f>E57</f>
        <v>900000</v>
      </c>
      <c r="F56" s="44">
        <f t="shared" si="9"/>
        <v>3404261</v>
      </c>
      <c r="G56" s="7"/>
      <c r="H56" s="7"/>
    </row>
    <row r="57" spans="1:8" ht="85.5" customHeight="1">
      <c r="A57" s="75"/>
      <c r="B57" s="74"/>
      <c r="C57" s="104" t="s">
        <v>138</v>
      </c>
      <c r="D57" s="78">
        <v>0</v>
      </c>
      <c r="E57" s="78">
        <v>900000</v>
      </c>
      <c r="F57" s="56">
        <f t="shared" si="9"/>
        <v>900000</v>
      </c>
      <c r="G57" s="7"/>
      <c r="H57" s="7"/>
    </row>
    <row r="58" spans="1:8" ht="57.75" customHeight="1">
      <c r="A58" s="69" t="s">
        <v>85</v>
      </c>
      <c r="B58" s="49"/>
      <c r="C58" s="49" t="s">
        <v>87</v>
      </c>
      <c r="D58" s="29">
        <f>D59</f>
        <v>905517027.95000005</v>
      </c>
      <c r="E58" s="29">
        <f>E59</f>
        <v>-825652</v>
      </c>
      <c r="F58" s="29">
        <f t="shared" ref="F58:F64" si="11">D58+E58</f>
        <v>904691375.95000005</v>
      </c>
      <c r="G58" s="7"/>
      <c r="H58" s="7"/>
    </row>
    <row r="59" spans="1:8" ht="62.25" customHeight="1">
      <c r="A59" s="69" t="s">
        <v>86</v>
      </c>
      <c r="B59" s="49"/>
      <c r="C59" s="49" t="s">
        <v>87</v>
      </c>
      <c r="D59" s="29">
        <f>905204027.95+313000</f>
        <v>905517027.95000005</v>
      </c>
      <c r="E59" s="29">
        <f>E60+E62+E63+E64</f>
        <v>-825652</v>
      </c>
      <c r="F59" s="29">
        <f t="shared" si="11"/>
        <v>904691375.95000005</v>
      </c>
      <c r="G59" s="7"/>
      <c r="H59" s="7"/>
    </row>
    <row r="60" spans="1:8" ht="226.5" customHeight="1">
      <c r="A60" s="66" t="s">
        <v>149</v>
      </c>
      <c r="B60" s="66" t="s">
        <v>152</v>
      </c>
      <c r="C60" s="113" t="s">
        <v>148</v>
      </c>
      <c r="D60" s="90">
        <v>1502147</v>
      </c>
      <c r="E60" s="90">
        <f>E61</f>
        <v>273000</v>
      </c>
      <c r="F60" s="44">
        <f>D60+E60</f>
        <v>1775147</v>
      </c>
      <c r="G60" s="7"/>
      <c r="H60" s="7"/>
    </row>
    <row r="61" spans="1:8" ht="52.5" customHeight="1">
      <c r="A61" s="84" t="s">
        <v>150</v>
      </c>
      <c r="B61" s="84" t="s">
        <v>151</v>
      </c>
      <c r="C61" s="114" t="s">
        <v>153</v>
      </c>
      <c r="D61" s="78">
        <v>753700</v>
      </c>
      <c r="E61" s="78">
        <v>273000</v>
      </c>
      <c r="F61" s="56">
        <f>D61+E61</f>
        <v>1026700</v>
      </c>
      <c r="G61" s="7"/>
      <c r="H61" s="7"/>
    </row>
    <row r="62" spans="1:8" ht="102" customHeight="1">
      <c r="A62" s="66" t="s">
        <v>143</v>
      </c>
      <c r="B62" s="66" t="s">
        <v>142</v>
      </c>
      <c r="C62" s="48" t="s">
        <v>144</v>
      </c>
      <c r="D62" s="90">
        <v>90380500</v>
      </c>
      <c r="E62" s="90">
        <f>-4443000-360000</f>
        <v>-4803000</v>
      </c>
      <c r="F62" s="44">
        <f t="shared" ref="F62" si="12">D62+E62</f>
        <v>85577500</v>
      </c>
      <c r="G62" s="7"/>
      <c r="H62" s="7"/>
    </row>
    <row r="63" spans="1:8" ht="35.25" customHeight="1">
      <c r="A63" s="66" t="s">
        <v>89</v>
      </c>
      <c r="B63" s="66" t="s">
        <v>90</v>
      </c>
      <c r="C63" s="48" t="s">
        <v>88</v>
      </c>
      <c r="D63" s="90">
        <f>37639707+313000</f>
        <v>37952707</v>
      </c>
      <c r="E63" s="90">
        <f>4170000+360000</f>
        <v>4530000</v>
      </c>
      <c r="F63" s="44">
        <f t="shared" ref="F63" si="13">D63+E63</f>
        <v>42482707</v>
      </c>
      <c r="G63" s="7"/>
      <c r="H63" s="7"/>
    </row>
    <row r="64" spans="1:8" ht="275.25" customHeight="1">
      <c r="A64" s="66" t="s">
        <v>146</v>
      </c>
      <c r="B64" s="66" t="s">
        <v>147</v>
      </c>
      <c r="C64" s="113" t="s">
        <v>145</v>
      </c>
      <c r="D64" s="90">
        <v>825652</v>
      </c>
      <c r="E64" s="90">
        <f>E65</f>
        <v>-825652</v>
      </c>
      <c r="F64" s="44">
        <f t="shared" si="11"/>
        <v>0</v>
      </c>
      <c r="G64" s="7"/>
      <c r="H64" s="7"/>
    </row>
    <row r="65" spans="1:9" ht="34.5" customHeight="1">
      <c r="A65" s="75"/>
      <c r="B65" s="74"/>
      <c r="C65" s="106" t="s">
        <v>154</v>
      </c>
      <c r="D65" s="78">
        <v>825652</v>
      </c>
      <c r="E65" s="78">
        <v>-825652</v>
      </c>
      <c r="F65" s="56">
        <f t="shared" ref="F65" si="14">D65+E65</f>
        <v>0</v>
      </c>
      <c r="G65" s="7"/>
      <c r="H65" s="7"/>
    </row>
    <row r="66" spans="1:9" ht="42.75" customHeight="1">
      <c r="A66" s="69" t="s">
        <v>36</v>
      </c>
      <c r="B66" s="49"/>
      <c r="C66" s="49" t="s">
        <v>30</v>
      </c>
      <c r="D66" s="29">
        <f>D67</f>
        <v>157731367</v>
      </c>
      <c r="E66" s="29">
        <f>E67</f>
        <v>764400</v>
      </c>
      <c r="F66" s="29">
        <f t="shared" ref="F66:F69" si="15">D66+E66</f>
        <v>158495767</v>
      </c>
      <c r="G66" s="7"/>
      <c r="H66" s="7"/>
    </row>
    <row r="67" spans="1:9" ht="45.75" customHeight="1">
      <c r="A67" s="69" t="s">
        <v>119</v>
      </c>
      <c r="B67" s="49"/>
      <c r="C67" s="49" t="s">
        <v>30</v>
      </c>
      <c r="D67" s="29">
        <v>157731367</v>
      </c>
      <c r="E67" s="29">
        <f>E68</f>
        <v>764400</v>
      </c>
      <c r="F67" s="29">
        <f t="shared" si="15"/>
        <v>158495767</v>
      </c>
      <c r="G67" s="7"/>
      <c r="H67" s="7"/>
    </row>
    <row r="68" spans="1:9" ht="29.25" customHeight="1">
      <c r="A68" s="66" t="s">
        <v>122</v>
      </c>
      <c r="B68" s="66" t="s">
        <v>123</v>
      </c>
      <c r="C68" s="48" t="s">
        <v>120</v>
      </c>
      <c r="D68" s="90">
        <v>10930000</v>
      </c>
      <c r="E68" s="90">
        <f>E69</f>
        <v>764400</v>
      </c>
      <c r="F68" s="44">
        <f t="shared" si="15"/>
        <v>11694400</v>
      </c>
      <c r="G68" s="7"/>
      <c r="H68" s="7"/>
    </row>
    <row r="69" spans="1:9" ht="33.75" customHeight="1">
      <c r="A69" s="81" t="s">
        <v>125</v>
      </c>
      <c r="B69" s="77" t="s">
        <v>124</v>
      </c>
      <c r="C69" s="47" t="s">
        <v>121</v>
      </c>
      <c r="D69" s="78">
        <v>9646000</v>
      </c>
      <c r="E69" s="90">
        <f>764400</f>
        <v>764400</v>
      </c>
      <c r="F69" s="44">
        <f t="shared" si="15"/>
        <v>10410400</v>
      </c>
      <c r="G69" s="7"/>
      <c r="H69" s="7"/>
    </row>
    <row r="70" spans="1:9" ht="55.5" customHeight="1">
      <c r="A70" s="69">
        <v>4000000</v>
      </c>
      <c r="B70" s="49"/>
      <c r="C70" s="49" t="s">
        <v>7</v>
      </c>
      <c r="D70" s="29">
        <f>D71</f>
        <v>594335799.63999999</v>
      </c>
      <c r="E70" s="29">
        <f>E71</f>
        <v>118675997</v>
      </c>
      <c r="F70" s="29">
        <f t="shared" ref="F70:F105" si="16">D70+E70</f>
        <v>713011796.63999999</v>
      </c>
      <c r="G70" s="55"/>
      <c r="H70" s="2"/>
    </row>
    <row r="71" spans="1:9" ht="55.5" customHeight="1">
      <c r="A71" s="69">
        <v>4010000</v>
      </c>
      <c r="B71" s="49"/>
      <c r="C71" s="49" t="s">
        <v>7</v>
      </c>
      <c r="D71" s="29">
        <v>594335799.63999999</v>
      </c>
      <c r="E71" s="29">
        <f>SUM(E72:E79)-E73</f>
        <v>118675997</v>
      </c>
      <c r="F71" s="29">
        <f t="shared" si="16"/>
        <v>713011796.63999999</v>
      </c>
      <c r="G71" s="7"/>
      <c r="H71" s="2"/>
      <c r="I71" s="73"/>
    </row>
    <row r="72" spans="1:9" ht="26.25" customHeight="1">
      <c r="A72" s="66" t="s">
        <v>156</v>
      </c>
      <c r="B72" s="66" t="s">
        <v>157</v>
      </c>
      <c r="C72" s="48" t="s">
        <v>155</v>
      </c>
      <c r="D72" s="44">
        <v>79161915.200000003</v>
      </c>
      <c r="E72" s="44">
        <f>11181197+4400000</f>
        <v>15581197</v>
      </c>
      <c r="F72" s="44">
        <f>D72+E72</f>
        <v>94743112.200000003</v>
      </c>
      <c r="G72" s="55"/>
      <c r="H72" s="2"/>
    </row>
    <row r="73" spans="1:9" ht="36" customHeight="1">
      <c r="A73" s="84"/>
      <c r="B73" s="84"/>
      <c r="C73" s="47" t="s">
        <v>158</v>
      </c>
      <c r="D73" s="56">
        <v>30027718.32</v>
      </c>
      <c r="E73" s="56">
        <v>6898797</v>
      </c>
      <c r="F73" s="56">
        <f t="shared" ref="F73:F81" si="17">D73+E73</f>
        <v>36926515.32</v>
      </c>
      <c r="G73" s="55"/>
      <c r="H73" s="2"/>
    </row>
    <row r="74" spans="1:9" ht="85.5" customHeight="1">
      <c r="A74" s="66" t="s">
        <v>160</v>
      </c>
      <c r="B74" s="66" t="s">
        <v>159</v>
      </c>
      <c r="C74" s="48" t="s">
        <v>161</v>
      </c>
      <c r="D74" s="44">
        <v>7259622</v>
      </c>
      <c r="E74" s="44">
        <v>7250600</v>
      </c>
      <c r="F74" s="44">
        <f>D74+E74</f>
        <v>14510222</v>
      </c>
      <c r="G74" s="55"/>
      <c r="H74" s="2"/>
    </row>
    <row r="75" spans="1:9" ht="32.25" customHeight="1">
      <c r="A75" s="66" t="s">
        <v>167</v>
      </c>
      <c r="B75" s="66" t="s">
        <v>166</v>
      </c>
      <c r="C75" s="48" t="s">
        <v>165</v>
      </c>
      <c r="D75" s="44">
        <v>223669400</v>
      </c>
      <c r="E75" s="44">
        <f>22640000</f>
        <v>22640000</v>
      </c>
      <c r="F75" s="44">
        <f t="shared" ref="F75" si="18">D75+E75</f>
        <v>246309400</v>
      </c>
      <c r="G75" s="55"/>
      <c r="H75" s="2"/>
    </row>
    <row r="76" spans="1:9" ht="37.5" customHeight="1">
      <c r="A76" s="66" t="s">
        <v>163</v>
      </c>
      <c r="B76" s="66" t="s">
        <v>162</v>
      </c>
      <c r="C76" s="48" t="s">
        <v>164</v>
      </c>
      <c r="D76" s="44">
        <v>203000000</v>
      </c>
      <c r="E76" s="44">
        <v>80000000</v>
      </c>
      <c r="F76" s="44">
        <f t="shared" si="17"/>
        <v>283000000</v>
      </c>
      <c r="G76" s="7"/>
      <c r="H76" s="115"/>
    </row>
    <row r="77" spans="1:9" ht="37.5" customHeight="1">
      <c r="A77" s="75" t="s">
        <v>191</v>
      </c>
      <c r="B77" s="74" t="s">
        <v>192</v>
      </c>
      <c r="C77" s="48" t="s">
        <v>190</v>
      </c>
      <c r="D77" s="90">
        <v>5885300</v>
      </c>
      <c r="E77" s="90">
        <f>-1800000</f>
        <v>-1800000</v>
      </c>
      <c r="F77" s="44">
        <f t="shared" si="17"/>
        <v>4085300</v>
      </c>
      <c r="G77" s="7"/>
      <c r="H77" s="115"/>
    </row>
    <row r="78" spans="1:9" ht="26.25" customHeight="1">
      <c r="A78" s="75" t="s">
        <v>193</v>
      </c>
      <c r="B78" s="74" t="s">
        <v>194</v>
      </c>
      <c r="C78" s="48" t="s">
        <v>195</v>
      </c>
      <c r="D78" s="90">
        <v>22666579</v>
      </c>
      <c r="E78" s="90">
        <v>-5000000</v>
      </c>
      <c r="F78" s="44">
        <f t="shared" si="17"/>
        <v>17666579</v>
      </c>
      <c r="G78" s="7"/>
      <c r="H78" s="115"/>
    </row>
    <row r="79" spans="1:9" ht="37.5" customHeight="1">
      <c r="A79" s="75" t="s">
        <v>172</v>
      </c>
      <c r="B79" s="74" t="s">
        <v>173</v>
      </c>
      <c r="C79" s="76" t="s">
        <v>174</v>
      </c>
      <c r="D79" s="90">
        <v>8592608</v>
      </c>
      <c r="E79" s="90">
        <v>4200</v>
      </c>
      <c r="F79" s="44">
        <f t="shared" si="17"/>
        <v>8596808</v>
      </c>
      <c r="G79" s="55"/>
      <c r="H79" s="2"/>
    </row>
    <row r="80" spans="1:9" ht="82.5" customHeight="1">
      <c r="A80" s="69" t="s">
        <v>43</v>
      </c>
      <c r="B80" s="49"/>
      <c r="C80" s="49" t="s">
        <v>42</v>
      </c>
      <c r="D80" s="29">
        <f>D81</f>
        <v>3060817</v>
      </c>
      <c r="E80" s="29">
        <f>E81</f>
        <v>23100</v>
      </c>
      <c r="F80" s="29">
        <f t="shared" si="17"/>
        <v>3083917</v>
      </c>
      <c r="G80" s="55"/>
      <c r="H80" s="2"/>
    </row>
    <row r="81" spans="1:8" ht="75.75" customHeight="1">
      <c r="A81" s="69" t="s">
        <v>44</v>
      </c>
      <c r="B81" s="49"/>
      <c r="C81" s="49" t="s">
        <v>42</v>
      </c>
      <c r="D81" s="29">
        <v>3060817</v>
      </c>
      <c r="E81" s="29">
        <f>E82+E84</f>
        <v>23100</v>
      </c>
      <c r="F81" s="29">
        <f t="shared" si="17"/>
        <v>3083917</v>
      </c>
      <c r="G81" s="55"/>
      <c r="H81" s="2"/>
    </row>
    <row r="82" spans="1:8" ht="37.5" customHeight="1">
      <c r="A82" s="66" t="s">
        <v>178</v>
      </c>
      <c r="B82" s="66" t="s">
        <v>108</v>
      </c>
      <c r="C82" s="48" t="s">
        <v>106</v>
      </c>
      <c r="D82" s="44">
        <v>678400</v>
      </c>
      <c r="E82" s="44">
        <v>52800</v>
      </c>
      <c r="F82" s="44">
        <f t="shared" ref="F82:F84" si="19">D82+E82</f>
        <v>731200</v>
      </c>
      <c r="G82" s="55"/>
      <c r="H82" s="2"/>
    </row>
    <row r="83" spans="1:8" ht="37.5" customHeight="1">
      <c r="A83" s="84"/>
      <c r="B83" s="84"/>
      <c r="C83" s="47" t="s">
        <v>158</v>
      </c>
      <c r="D83" s="56">
        <v>130115</v>
      </c>
      <c r="E83" s="56">
        <v>-23000</v>
      </c>
      <c r="F83" s="56">
        <f t="shared" si="19"/>
        <v>107115</v>
      </c>
      <c r="G83" s="55"/>
      <c r="H83" s="2"/>
    </row>
    <row r="84" spans="1:8" ht="27.75" customHeight="1">
      <c r="A84" s="75" t="s">
        <v>179</v>
      </c>
      <c r="B84" s="74" t="s">
        <v>180</v>
      </c>
      <c r="C84" s="48" t="s">
        <v>181</v>
      </c>
      <c r="D84" s="90">
        <v>2382417</v>
      </c>
      <c r="E84" s="90">
        <v>-29700</v>
      </c>
      <c r="F84" s="44">
        <f t="shared" si="19"/>
        <v>2352717</v>
      </c>
      <c r="G84" s="55"/>
      <c r="H84" s="2"/>
    </row>
    <row r="85" spans="1:8" ht="42" customHeight="1">
      <c r="A85" s="94">
        <v>7600000</v>
      </c>
      <c r="B85" s="49"/>
      <c r="C85" s="49" t="s">
        <v>55</v>
      </c>
      <c r="D85" s="29">
        <f>D86</f>
        <v>1045520551</v>
      </c>
      <c r="E85" s="29">
        <f>E86</f>
        <v>2438000</v>
      </c>
      <c r="F85" s="29">
        <f t="shared" ref="F85" si="20">D85+E85</f>
        <v>1047958551</v>
      </c>
      <c r="G85" s="7"/>
      <c r="H85" s="2"/>
    </row>
    <row r="86" spans="1:8" ht="37.5" customHeight="1">
      <c r="A86" s="94">
        <v>7610000</v>
      </c>
      <c r="B86" s="49"/>
      <c r="C86" s="49" t="s">
        <v>55</v>
      </c>
      <c r="D86" s="29">
        <f>1046254131-733580</f>
        <v>1045520551</v>
      </c>
      <c r="E86" s="29">
        <f>E87+E88</f>
        <v>2438000</v>
      </c>
      <c r="F86" s="29">
        <f t="shared" ref="F86:F94" si="21">D86+E86</f>
        <v>1047958551</v>
      </c>
      <c r="G86" s="7"/>
      <c r="H86" s="2"/>
    </row>
    <row r="87" spans="1:8" ht="28.5" customHeight="1">
      <c r="A87" s="75" t="s">
        <v>187</v>
      </c>
      <c r="B87" s="74" t="s">
        <v>188</v>
      </c>
      <c r="C87" s="91" t="s">
        <v>189</v>
      </c>
      <c r="D87" s="44">
        <v>12023353</v>
      </c>
      <c r="E87" s="44">
        <v>-3000000</v>
      </c>
      <c r="F87" s="44">
        <f t="shared" ref="F87" si="22">D87+E87</f>
        <v>9023353</v>
      </c>
      <c r="G87" s="7"/>
      <c r="H87" s="2"/>
    </row>
    <row r="88" spans="1:8" ht="26.25" customHeight="1">
      <c r="A88" s="75">
        <v>7618700</v>
      </c>
      <c r="B88" s="74">
        <v>8700</v>
      </c>
      <c r="C88" s="91" t="s">
        <v>109</v>
      </c>
      <c r="D88" s="44">
        <v>78329175</v>
      </c>
      <c r="E88" s="44">
        <f>SUM(E90:E94)</f>
        <v>5438000</v>
      </c>
      <c r="F88" s="44">
        <f t="shared" si="21"/>
        <v>83767175</v>
      </c>
      <c r="G88" s="7"/>
      <c r="H88" s="2"/>
    </row>
    <row r="89" spans="1:8" ht="32.25" customHeight="1">
      <c r="A89" s="77"/>
      <c r="B89" s="105"/>
      <c r="C89" s="106" t="s">
        <v>110</v>
      </c>
      <c r="D89" s="56"/>
      <c r="E89" s="56"/>
      <c r="F89" s="56"/>
      <c r="G89" s="7"/>
      <c r="H89" s="2"/>
    </row>
    <row r="90" spans="1:8" ht="23.25" customHeight="1">
      <c r="A90" s="74"/>
      <c r="B90" s="107"/>
      <c r="C90" s="108" t="s">
        <v>111</v>
      </c>
      <c r="D90" s="56">
        <f>10161660-3192900+579100</f>
        <v>7547860</v>
      </c>
      <c r="E90" s="56">
        <f>1126300</f>
        <v>1126300</v>
      </c>
      <c r="F90" s="56">
        <f t="shared" si="21"/>
        <v>8674160</v>
      </c>
      <c r="G90" s="7"/>
      <c r="H90" s="2"/>
    </row>
    <row r="91" spans="1:8" ht="19.5" customHeight="1">
      <c r="A91" s="74"/>
      <c r="B91" s="107"/>
      <c r="C91" s="104" t="s">
        <v>112</v>
      </c>
      <c r="D91" s="56">
        <f>19676350-3209300+450000+1000</f>
        <v>16918050</v>
      </c>
      <c r="E91" s="56">
        <f>1200000</f>
        <v>1200000</v>
      </c>
      <c r="F91" s="109">
        <f>D91+E91</f>
        <v>18118050</v>
      </c>
      <c r="G91" s="7"/>
      <c r="H91" s="2"/>
    </row>
    <row r="92" spans="1:8" ht="22.5" customHeight="1">
      <c r="A92" s="74"/>
      <c r="B92" s="107"/>
      <c r="C92" s="108" t="s">
        <v>113</v>
      </c>
      <c r="D92" s="56">
        <f>11315750+3500000-4678585+482500</f>
        <v>10619665</v>
      </c>
      <c r="E92" s="56">
        <f>1916300</f>
        <v>1916300</v>
      </c>
      <c r="F92" s="56">
        <f t="shared" si="21"/>
        <v>12535965</v>
      </c>
      <c r="G92" s="7"/>
      <c r="H92" s="2"/>
    </row>
    <row r="93" spans="1:8" ht="19.5" customHeight="1">
      <c r="A93" s="74"/>
      <c r="B93" s="107"/>
      <c r="C93" s="108" t="s">
        <v>114</v>
      </c>
      <c r="D93" s="56">
        <f>18463670-3694700+589000</f>
        <v>15357970</v>
      </c>
      <c r="E93" s="56">
        <f>455400</f>
        <v>455400</v>
      </c>
      <c r="F93" s="56">
        <f t="shared" si="21"/>
        <v>15813370</v>
      </c>
      <c r="G93" s="7"/>
      <c r="H93" s="2"/>
    </row>
    <row r="94" spans="1:8" ht="21.75" customHeight="1" thickBot="1">
      <c r="A94" s="74"/>
      <c r="B94" s="107"/>
      <c r="C94" s="104" t="s">
        <v>115</v>
      </c>
      <c r="D94" s="56">
        <f>9332290+195000-2927600+199000</f>
        <v>6798690</v>
      </c>
      <c r="E94" s="56">
        <f>40000+700000</f>
        <v>740000</v>
      </c>
      <c r="F94" s="56">
        <f t="shared" si="21"/>
        <v>7538690</v>
      </c>
      <c r="G94" s="7"/>
      <c r="H94" s="2"/>
    </row>
    <row r="95" spans="1:8" ht="38.25" customHeight="1">
      <c r="A95" s="40"/>
      <c r="B95" s="63"/>
      <c r="C95" s="37" t="s">
        <v>9</v>
      </c>
      <c r="D95" s="51">
        <f>290942+713438854.11+2631328.09</f>
        <v>716361124.20000005</v>
      </c>
      <c r="E95" s="27">
        <f>E97+E102+E115+E122+E134+E154+E149</f>
        <v>50518463</v>
      </c>
      <c r="F95" s="27">
        <f t="shared" si="16"/>
        <v>766879587.20000005</v>
      </c>
      <c r="G95" s="7"/>
      <c r="H95" s="88"/>
    </row>
    <row r="96" spans="1:8" ht="24.75" customHeight="1" thickBot="1">
      <c r="A96" s="41"/>
      <c r="B96" s="64"/>
      <c r="C96" s="38" t="s">
        <v>6</v>
      </c>
      <c r="D96" s="28">
        <f>519038501.11+2631328.09</f>
        <v>521669829.19999999</v>
      </c>
      <c r="E96" s="28">
        <f>E99+E104+E117+E124+E136+E156+E151</f>
        <v>50518463</v>
      </c>
      <c r="F96" s="28">
        <f t="shared" si="16"/>
        <v>572188292.20000005</v>
      </c>
      <c r="G96" s="7"/>
      <c r="H96" s="2"/>
    </row>
    <row r="97" spans="1:8" ht="43.5" customHeight="1">
      <c r="A97" s="69" t="s">
        <v>103</v>
      </c>
      <c r="B97" s="49"/>
      <c r="C97" s="49" t="s">
        <v>105</v>
      </c>
      <c r="D97" s="29">
        <f>D98</f>
        <v>25554935</v>
      </c>
      <c r="E97" s="29">
        <f>E98</f>
        <v>311745</v>
      </c>
      <c r="F97" s="29">
        <f t="shared" si="16"/>
        <v>25866680</v>
      </c>
      <c r="G97" s="7"/>
      <c r="H97" s="2"/>
    </row>
    <row r="98" spans="1:8" ht="41.25" customHeight="1">
      <c r="A98" s="69" t="s">
        <v>104</v>
      </c>
      <c r="B98" s="49"/>
      <c r="C98" s="49" t="s">
        <v>105</v>
      </c>
      <c r="D98" s="29">
        <v>25554935</v>
      </c>
      <c r="E98" s="29">
        <f>E100</f>
        <v>311745</v>
      </c>
      <c r="F98" s="29">
        <f t="shared" si="16"/>
        <v>25866680</v>
      </c>
      <c r="G98" s="7"/>
      <c r="H98" s="2"/>
    </row>
    <row r="99" spans="1:8" ht="24.75" customHeight="1">
      <c r="A99" s="92"/>
      <c r="B99" s="49"/>
      <c r="C99" s="67" t="s">
        <v>6</v>
      </c>
      <c r="D99" s="45">
        <v>25506931</v>
      </c>
      <c r="E99" s="45">
        <f>E101</f>
        <v>311745</v>
      </c>
      <c r="F99" s="45">
        <f>D99+E99</f>
        <v>25818676</v>
      </c>
      <c r="G99" s="7"/>
      <c r="H99" s="2"/>
    </row>
    <row r="100" spans="1:8" ht="67.5" customHeight="1">
      <c r="A100" s="75" t="s">
        <v>118</v>
      </c>
      <c r="B100" s="74" t="s">
        <v>117</v>
      </c>
      <c r="C100" s="48" t="s">
        <v>116</v>
      </c>
      <c r="D100" s="90">
        <v>0</v>
      </c>
      <c r="E100" s="90">
        <f>E101</f>
        <v>311745</v>
      </c>
      <c r="F100" s="44">
        <f>D100+E100</f>
        <v>311745</v>
      </c>
      <c r="G100" s="7"/>
      <c r="H100" s="2"/>
    </row>
    <row r="101" spans="1:8" ht="24.75" customHeight="1">
      <c r="A101" s="57"/>
      <c r="B101" s="57"/>
      <c r="C101" s="47" t="s">
        <v>6</v>
      </c>
      <c r="D101" s="68">
        <v>0</v>
      </c>
      <c r="E101" s="56">
        <f>312745-1000</f>
        <v>311745</v>
      </c>
      <c r="F101" s="56">
        <f t="shared" ref="F101" si="23">D101+E101</f>
        <v>311745</v>
      </c>
      <c r="G101" s="7"/>
      <c r="H101" s="2"/>
    </row>
    <row r="102" spans="1:8" ht="39" customHeight="1">
      <c r="A102" s="69" t="s">
        <v>17</v>
      </c>
      <c r="B102" s="49"/>
      <c r="C102" s="49" t="s">
        <v>16</v>
      </c>
      <c r="D102" s="29">
        <f>D103</f>
        <v>144198658.20000002</v>
      </c>
      <c r="E102" s="29">
        <f>E103</f>
        <v>5047300</v>
      </c>
      <c r="F102" s="29">
        <f t="shared" si="16"/>
        <v>149245958.20000002</v>
      </c>
      <c r="G102" s="7"/>
      <c r="H102" s="2"/>
    </row>
    <row r="103" spans="1:8" ht="38.25" customHeight="1">
      <c r="A103" s="69" t="s">
        <v>18</v>
      </c>
      <c r="B103" s="49"/>
      <c r="C103" s="49" t="s">
        <v>16</v>
      </c>
      <c r="D103" s="29">
        <f>141730010.11+2468648.09</f>
        <v>144198658.20000002</v>
      </c>
      <c r="E103" s="29">
        <f>E105+E107+E109+E112</f>
        <v>5047300</v>
      </c>
      <c r="F103" s="29">
        <f t="shared" si="16"/>
        <v>149245958.20000002</v>
      </c>
      <c r="G103" s="7"/>
      <c r="H103" s="2"/>
    </row>
    <row r="104" spans="1:8" ht="21.75" customHeight="1">
      <c r="A104" s="92"/>
      <c r="B104" s="49"/>
      <c r="C104" s="67" t="s">
        <v>6</v>
      </c>
      <c r="D104" s="45">
        <f>63362829.11+2468648.09</f>
        <v>65831477.200000003</v>
      </c>
      <c r="E104" s="45">
        <f>E106+E108+E111</f>
        <v>5047300</v>
      </c>
      <c r="F104" s="45">
        <f>D104+E104</f>
        <v>70878777.200000003</v>
      </c>
      <c r="G104" s="7"/>
      <c r="H104" s="2"/>
    </row>
    <row r="105" spans="1:8" ht="66" customHeight="1">
      <c r="A105" s="66" t="s">
        <v>40</v>
      </c>
      <c r="B105" s="66" t="s">
        <v>41</v>
      </c>
      <c r="C105" s="48" t="s">
        <v>39</v>
      </c>
      <c r="D105" s="44">
        <v>665586</v>
      </c>
      <c r="E105" s="44">
        <f>SUM(E106:E106)</f>
        <v>40185</v>
      </c>
      <c r="F105" s="44">
        <f t="shared" si="16"/>
        <v>705771</v>
      </c>
      <c r="G105" s="7"/>
      <c r="H105" s="2"/>
    </row>
    <row r="106" spans="1:8" ht="22.5" customHeight="1">
      <c r="A106" s="57"/>
      <c r="B106" s="57"/>
      <c r="C106" s="47" t="s">
        <v>6</v>
      </c>
      <c r="D106" s="68">
        <v>400054</v>
      </c>
      <c r="E106" s="56">
        <f>40185</f>
        <v>40185</v>
      </c>
      <c r="F106" s="56">
        <f t="shared" ref="F106:F109" si="24">D106+E106</f>
        <v>440239</v>
      </c>
      <c r="G106" s="7"/>
      <c r="H106" s="2"/>
    </row>
    <row r="107" spans="1:8" ht="54.75" customHeight="1">
      <c r="A107" s="66" t="s">
        <v>65</v>
      </c>
      <c r="B107" s="66" t="s">
        <v>66</v>
      </c>
      <c r="C107" s="48" t="s">
        <v>67</v>
      </c>
      <c r="D107" s="44">
        <v>34214634</v>
      </c>
      <c r="E107" s="44">
        <f>E108</f>
        <v>4738280</v>
      </c>
      <c r="F107" s="44">
        <f t="shared" ref="F107:F108" si="25">D107+E107</f>
        <v>38952914</v>
      </c>
      <c r="G107" s="7"/>
      <c r="H107" s="2"/>
    </row>
    <row r="108" spans="1:8" ht="22.5" customHeight="1">
      <c r="A108" s="93"/>
      <c r="B108" s="77"/>
      <c r="C108" s="47" t="s">
        <v>6</v>
      </c>
      <c r="D108" s="78">
        <v>34214634</v>
      </c>
      <c r="E108" s="78">
        <f>1400000+90000+3000000+248280</f>
        <v>4738280</v>
      </c>
      <c r="F108" s="56">
        <f t="shared" si="25"/>
        <v>38952914</v>
      </c>
      <c r="G108" s="7"/>
      <c r="H108" s="2"/>
    </row>
    <row r="109" spans="1:8" ht="39.75" customHeight="1">
      <c r="A109" s="66">
        <v>1015030</v>
      </c>
      <c r="B109" s="66" t="s">
        <v>92</v>
      </c>
      <c r="C109" s="48" t="s">
        <v>93</v>
      </c>
      <c r="D109" s="44">
        <f>D110</f>
        <v>25476582.199999999</v>
      </c>
      <c r="E109" s="44">
        <f>E110</f>
        <v>268835</v>
      </c>
      <c r="F109" s="44">
        <f t="shared" si="24"/>
        <v>25745417.199999999</v>
      </c>
      <c r="G109" s="7"/>
      <c r="H109" s="2"/>
    </row>
    <row r="110" spans="1:8" ht="50.25" customHeight="1">
      <c r="A110" s="84">
        <v>1015031</v>
      </c>
      <c r="B110" s="84" t="s">
        <v>94</v>
      </c>
      <c r="C110" s="47" t="s">
        <v>95</v>
      </c>
      <c r="D110" s="78">
        <f>23007934.11+2468648.09</f>
        <v>25476582.199999999</v>
      </c>
      <c r="E110" s="78">
        <f>E111</f>
        <v>268835</v>
      </c>
      <c r="F110" s="56">
        <f t="shared" ref="F110:F117" si="26">D110+E110</f>
        <v>25745417.199999999</v>
      </c>
      <c r="G110" s="7"/>
      <c r="H110" s="2"/>
    </row>
    <row r="111" spans="1:8" ht="23.25" customHeight="1">
      <c r="A111" s="93"/>
      <c r="B111" s="77"/>
      <c r="C111" s="47" t="s">
        <v>6</v>
      </c>
      <c r="D111" s="78">
        <f>21583790.11+2468648.09</f>
        <v>24052438.199999999</v>
      </c>
      <c r="E111" s="78">
        <f>108835+430000-270000</f>
        <v>268835</v>
      </c>
      <c r="F111" s="56">
        <f t="shared" si="26"/>
        <v>24321273.199999999</v>
      </c>
      <c r="G111" s="7"/>
      <c r="H111" s="2"/>
    </row>
    <row r="112" spans="1:8" ht="25.5" customHeight="1">
      <c r="A112" s="66" t="s">
        <v>100</v>
      </c>
      <c r="B112" s="66" t="s">
        <v>101</v>
      </c>
      <c r="C112" s="48" t="s">
        <v>99</v>
      </c>
      <c r="D112" s="44">
        <v>2996000</v>
      </c>
      <c r="E112" s="44">
        <f>E113+E114</f>
        <v>0</v>
      </c>
      <c r="F112" s="44">
        <f t="shared" si="26"/>
        <v>2996000</v>
      </c>
      <c r="G112" s="7"/>
      <c r="H112" s="2"/>
    </row>
    <row r="113" spans="1:8" ht="21.75" customHeight="1">
      <c r="A113" s="75"/>
      <c r="B113" s="74"/>
      <c r="C113" s="47" t="s">
        <v>130</v>
      </c>
      <c r="D113" s="78">
        <v>0</v>
      </c>
      <c r="E113" s="78">
        <v>1141000</v>
      </c>
      <c r="F113" s="56">
        <f t="shared" si="26"/>
        <v>1141000</v>
      </c>
      <c r="G113" s="7"/>
      <c r="H113" s="2"/>
    </row>
    <row r="114" spans="1:8" ht="20.25" customHeight="1">
      <c r="A114" s="81"/>
      <c r="B114" s="77"/>
      <c r="C114" s="104" t="s">
        <v>102</v>
      </c>
      <c r="D114" s="78">
        <v>2996000</v>
      </c>
      <c r="E114" s="78">
        <v>-1141000</v>
      </c>
      <c r="F114" s="56">
        <f t="shared" si="26"/>
        <v>1855000</v>
      </c>
      <c r="G114" s="7"/>
      <c r="H114" s="2"/>
    </row>
    <row r="115" spans="1:8" ht="63" customHeight="1">
      <c r="A115" s="69" t="s">
        <v>56</v>
      </c>
      <c r="B115" s="49"/>
      <c r="C115" s="49" t="s">
        <v>58</v>
      </c>
      <c r="D115" s="29">
        <f>D116</f>
        <v>103911307</v>
      </c>
      <c r="E115" s="29">
        <f>E116</f>
        <v>-34726738</v>
      </c>
      <c r="F115" s="29">
        <f t="shared" si="26"/>
        <v>69184569</v>
      </c>
      <c r="G115" s="7"/>
      <c r="H115" s="2"/>
    </row>
    <row r="116" spans="1:8" ht="60.75" customHeight="1">
      <c r="A116" s="69" t="s">
        <v>57</v>
      </c>
      <c r="B116" s="49"/>
      <c r="C116" s="49" t="s">
        <v>58</v>
      </c>
      <c r="D116" s="29">
        <v>103911307</v>
      </c>
      <c r="E116" s="29">
        <f>E118+E120</f>
        <v>-34726738</v>
      </c>
      <c r="F116" s="29">
        <f t="shared" si="26"/>
        <v>69184569</v>
      </c>
      <c r="G116" s="7"/>
      <c r="H116" s="2"/>
    </row>
    <row r="117" spans="1:8" ht="20.25" customHeight="1">
      <c r="A117" s="70"/>
      <c r="B117" s="67"/>
      <c r="C117" s="67" t="s">
        <v>6</v>
      </c>
      <c r="D117" s="45">
        <v>76707419</v>
      </c>
      <c r="E117" s="45">
        <f>E119+E121</f>
        <v>-34726738</v>
      </c>
      <c r="F117" s="45">
        <f t="shared" si="26"/>
        <v>41980681</v>
      </c>
      <c r="G117" s="7"/>
      <c r="H117" s="2"/>
    </row>
    <row r="118" spans="1:8" ht="43.5" customHeight="1">
      <c r="A118" s="66" t="s">
        <v>70</v>
      </c>
      <c r="B118" s="66" t="s">
        <v>69</v>
      </c>
      <c r="C118" s="48" t="s">
        <v>71</v>
      </c>
      <c r="D118" s="44">
        <v>43888729</v>
      </c>
      <c r="E118" s="44">
        <f>E119</f>
        <v>-21918509</v>
      </c>
      <c r="F118" s="44">
        <f>D118+E118</f>
        <v>21970220</v>
      </c>
      <c r="G118" s="7"/>
      <c r="H118" s="2"/>
    </row>
    <row r="119" spans="1:8" ht="20.25" customHeight="1">
      <c r="A119" s="81"/>
      <c r="B119" s="77"/>
      <c r="C119" s="47" t="s">
        <v>6</v>
      </c>
      <c r="D119" s="68">
        <v>32540839</v>
      </c>
      <c r="E119" s="56">
        <v>-21918509</v>
      </c>
      <c r="F119" s="56">
        <f t="shared" ref="F119:F120" si="27">D119+E119</f>
        <v>10622330</v>
      </c>
      <c r="G119" s="7"/>
      <c r="H119" s="2"/>
    </row>
    <row r="120" spans="1:8" ht="29.25" customHeight="1">
      <c r="A120" s="66" t="s">
        <v>140</v>
      </c>
      <c r="B120" s="66" t="s">
        <v>139</v>
      </c>
      <c r="C120" s="48" t="s">
        <v>141</v>
      </c>
      <c r="D120" s="44">
        <v>38719022</v>
      </c>
      <c r="E120" s="44">
        <f>E121</f>
        <v>-12808229</v>
      </c>
      <c r="F120" s="44">
        <f t="shared" si="27"/>
        <v>25910793</v>
      </c>
      <c r="G120" s="7"/>
      <c r="H120" s="2"/>
    </row>
    <row r="121" spans="1:8" ht="20.25" customHeight="1">
      <c r="A121" s="81"/>
      <c r="B121" s="77"/>
      <c r="C121" s="47" t="s">
        <v>6</v>
      </c>
      <c r="D121" s="68">
        <v>38126580</v>
      </c>
      <c r="E121" s="56">
        <v>-12808229</v>
      </c>
      <c r="F121" s="56">
        <f t="shared" ref="F121" si="28">D121+E121</f>
        <v>25318351</v>
      </c>
      <c r="G121" s="7"/>
      <c r="H121" s="2"/>
    </row>
    <row r="122" spans="1:8" ht="39" customHeight="1">
      <c r="A122" s="69" t="s">
        <v>36</v>
      </c>
      <c r="B122" s="49"/>
      <c r="C122" s="49" t="s">
        <v>30</v>
      </c>
      <c r="D122" s="29">
        <f>D123</f>
        <v>30256164</v>
      </c>
      <c r="E122" s="29">
        <f t="shared" ref="E122:F122" si="29">E123</f>
        <v>2410039</v>
      </c>
      <c r="F122" s="29">
        <f t="shared" si="29"/>
        <v>32666203</v>
      </c>
      <c r="G122" s="7"/>
      <c r="H122" s="2"/>
    </row>
    <row r="123" spans="1:8" ht="42" customHeight="1">
      <c r="A123" s="69">
        <v>2410000</v>
      </c>
      <c r="B123" s="49"/>
      <c r="C123" s="49" t="s">
        <v>30</v>
      </c>
      <c r="D123" s="29">
        <f>30093484+162680</f>
        <v>30256164</v>
      </c>
      <c r="E123" s="29">
        <f>E125+E127+E129+E132</f>
        <v>2410039</v>
      </c>
      <c r="F123" s="29">
        <f t="shared" ref="F123:F130" si="30">D123+E123</f>
        <v>32666203</v>
      </c>
      <c r="G123" s="7"/>
      <c r="H123" s="2"/>
    </row>
    <row r="124" spans="1:8" ht="20.25" customHeight="1">
      <c r="A124" s="70"/>
      <c r="B124" s="67"/>
      <c r="C124" s="67" t="s">
        <v>6</v>
      </c>
      <c r="D124" s="45">
        <f>24139708+162680</f>
        <v>24302388</v>
      </c>
      <c r="E124" s="45">
        <f>E126+E128+E131+E133</f>
        <v>2410039</v>
      </c>
      <c r="F124" s="45">
        <f t="shared" si="30"/>
        <v>26712427</v>
      </c>
      <c r="G124" s="7"/>
      <c r="H124" s="2"/>
    </row>
    <row r="125" spans="1:8" ht="26.25" customHeight="1">
      <c r="A125" s="75">
        <v>2414020</v>
      </c>
      <c r="B125" s="74" t="s">
        <v>126</v>
      </c>
      <c r="C125" s="48" t="s">
        <v>127</v>
      </c>
      <c r="D125" s="46">
        <f>D126</f>
        <v>16009849</v>
      </c>
      <c r="E125" s="44">
        <f>E126</f>
        <v>450000</v>
      </c>
      <c r="F125" s="44">
        <f t="shared" ref="F125:F126" si="31">D125+E125</f>
        <v>16459849</v>
      </c>
      <c r="G125" s="7"/>
      <c r="H125" s="2"/>
    </row>
    <row r="126" spans="1:8" ht="20.25" customHeight="1">
      <c r="A126" s="57"/>
      <c r="B126" s="57"/>
      <c r="C126" s="47" t="s">
        <v>6</v>
      </c>
      <c r="D126" s="68">
        <f>15977169+32680</f>
        <v>16009849</v>
      </c>
      <c r="E126" s="56">
        <f>450000</f>
        <v>450000</v>
      </c>
      <c r="F126" s="56">
        <f t="shared" si="31"/>
        <v>16459849</v>
      </c>
      <c r="G126" s="7"/>
      <c r="H126" s="2"/>
    </row>
    <row r="127" spans="1:8" ht="44.25" customHeight="1">
      <c r="A127" s="75" t="s">
        <v>72</v>
      </c>
      <c r="B127" s="74" t="s">
        <v>73</v>
      </c>
      <c r="C127" s="48" t="s">
        <v>74</v>
      </c>
      <c r="D127" s="46">
        <v>5793352</v>
      </c>
      <c r="E127" s="44">
        <f>E128</f>
        <v>1250039</v>
      </c>
      <c r="F127" s="44">
        <f t="shared" si="30"/>
        <v>7043391</v>
      </c>
      <c r="G127" s="7"/>
      <c r="H127" s="2"/>
    </row>
    <row r="128" spans="1:8" ht="20.25" customHeight="1">
      <c r="A128" s="57"/>
      <c r="B128" s="57"/>
      <c r="C128" s="47" t="s">
        <v>6</v>
      </c>
      <c r="D128" s="68">
        <v>5386306</v>
      </c>
      <c r="E128" s="56">
        <f>1250039</f>
        <v>1250039</v>
      </c>
      <c r="F128" s="56">
        <f t="shared" si="30"/>
        <v>6636345</v>
      </c>
      <c r="G128" s="7"/>
      <c r="H128" s="2"/>
    </row>
    <row r="129" spans="1:8" ht="27" customHeight="1">
      <c r="A129" s="66" t="s">
        <v>122</v>
      </c>
      <c r="B129" s="66" t="s">
        <v>123</v>
      </c>
      <c r="C129" s="48" t="s">
        <v>120</v>
      </c>
      <c r="D129" s="90">
        <f>D130</f>
        <v>1214983</v>
      </c>
      <c r="E129" s="90">
        <f>E130</f>
        <v>500000</v>
      </c>
      <c r="F129" s="44">
        <f t="shared" si="30"/>
        <v>1714983</v>
      </c>
      <c r="G129" s="7"/>
      <c r="H129" s="2"/>
    </row>
    <row r="130" spans="1:8" ht="34.5" customHeight="1">
      <c r="A130" s="81" t="s">
        <v>125</v>
      </c>
      <c r="B130" s="77" t="s">
        <v>124</v>
      </c>
      <c r="C130" s="47" t="s">
        <v>121</v>
      </c>
      <c r="D130" s="78">
        <v>1214983</v>
      </c>
      <c r="E130" s="78">
        <f>E131</f>
        <v>500000</v>
      </c>
      <c r="F130" s="56">
        <f t="shared" si="30"/>
        <v>1714983</v>
      </c>
      <c r="G130" s="7"/>
      <c r="H130" s="2"/>
    </row>
    <row r="131" spans="1:8" ht="20.25" customHeight="1">
      <c r="A131" s="57"/>
      <c r="B131" s="57"/>
      <c r="C131" s="47" t="s">
        <v>6</v>
      </c>
      <c r="D131" s="68">
        <v>1214983</v>
      </c>
      <c r="E131" s="56">
        <v>500000</v>
      </c>
      <c r="F131" s="56">
        <f t="shared" ref="F131:F133" si="32">D131+E131</f>
        <v>1714983</v>
      </c>
      <c r="G131" s="7"/>
      <c r="H131" s="2"/>
    </row>
    <row r="132" spans="1:8" ht="36.75" customHeight="1">
      <c r="A132" s="66">
        <v>2417470</v>
      </c>
      <c r="B132" s="66" t="s">
        <v>128</v>
      </c>
      <c r="C132" s="48" t="s">
        <v>129</v>
      </c>
      <c r="D132" s="90">
        <v>0</v>
      </c>
      <c r="E132" s="90">
        <f>E133</f>
        <v>210000</v>
      </c>
      <c r="F132" s="44">
        <f t="shared" si="32"/>
        <v>210000</v>
      </c>
      <c r="G132" s="7"/>
      <c r="H132" s="2"/>
    </row>
    <row r="133" spans="1:8" ht="20.25" customHeight="1">
      <c r="A133" s="111"/>
      <c r="B133" s="112"/>
      <c r="C133" s="47" t="s">
        <v>6</v>
      </c>
      <c r="D133" s="78">
        <v>0</v>
      </c>
      <c r="E133" s="78">
        <f>210000</f>
        <v>210000</v>
      </c>
      <c r="F133" s="56">
        <f t="shared" si="32"/>
        <v>210000</v>
      </c>
      <c r="G133" s="7"/>
      <c r="H133" s="2"/>
    </row>
    <row r="134" spans="1:8" ht="60.75" customHeight="1">
      <c r="A134" s="69" t="s">
        <v>45</v>
      </c>
      <c r="B134" s="49"/>
      <c r="C134" s="49" t="s">
        <v>7</v>
      </c>
      <c r="D134" s="29">
        <f>D135</f>
        <v>249773021</v>
      </c>
      <c r="E134" s="29">
        <f t="shared" ref="E134:F134" si="33">E135</f>
        <v>70979217</v>
      </c>
      <c r="F134" s="29">
        <f t="shared" si="33"/>
        <v>320752238</v>
      </c>
      <c r="G134" s="7"/>
      <c r="H134" s="2"/>
    </row>
    <row r="135" spans="1:8" ht="59.25" customHeight="1">
      <c r="A135" s="69" t="s">
        <v>46</v>
      </c>
      <c r="B135" s="49"/>
      <c r="C135" s="49" t="s">
        <v>7</v>
      </c>
      <c r="D135" s="29">
        <v>249773021</v>
      </c>
      <c r="E135" s="29">
        <f>E137+E140+E142+E144+E146</f>
        <v>70979217</v>
      </c>
      <c r="F135" s="29">
        <f t="shared" ref="F135:F141" si="34">D135+E135</f>
        <v>320752238</v>
      </c>
      <c r="G135" s="7"/>
      <c r="H135" s="2"/>
    </row>
    <row r="136" spans="1:8" ht="20.25" customHeight="1">
      <c r="A136" s="70"/>
      <c r="B136" s="67"/>
      <c r="C136" s="67" t="s">
        <v>6</v>
      </c>
      <c r="D136" s="45">
        <v>222033721</v>
      </c>
      <c r="E136" s="45">
        <f>E139+E141+E143+E145+E148</f>
        <v>70979217</v>
      </c>
      <c r="F136" s="45">
        <f t="shared" si="34"/>
        <v>293012938</v>
      </c>
      <c r="G136" s="7"/>
      <c r="H136" s="2"/>
    </row>
    <row r="137" spans="1:8" ht="37.5" customHeight="1">
      <c r="A137" s="75" t="s">
        <v>76</v>
      </c>
      <c r="B137" s="74" t="s">
        <v>77</v>
      </c>
      <c r="C137" s="48" t="s">
        <v>78</v>
      </c>
      <c r="D137" s="46">
        <v>46177760</v>
      </c>
      <c r="E137" s="44">
        <f>E138</f>
        <v>15000000</v>
      </c>
      <c r="F137" s="44">
        <f t="shared" si="34"/>
        <v>61177760</v>
      </c>
      <c r="G137" s="7"/>
      <c r="H137" s="2"/>
    </row>
    <row r="138" spans="1:8" ht="37.5" customHeight="1">
      <c r="A138" s="81" t="s">
        <v>75</v>
      </c>
      <c r="B138" s="77" t="s">
        <v>80</v>
      </c>
      <c r="C138" s="47" t="s">
        <v>79</v>
      </c>
      <c r="D138" s="46">
        <v>36077760</v>
      </c>
      <c r="E138" s="56">
        <f>E139</f>
        <v>15000000</v>
      </c>
      <c r="F138" s="44">
        <f t="shared" si="34"/>
        <v>51077760</v>
      </c>
      <c r="G138" s="7"/>
      <c r="H138" s="2"/>
    </row>
    <row r="139" spans="1:8" ht="20.25" customHeight="1">
      <c r="A139" s="57"/>
      <c r="B139" s="57"/>
      <c r="C139" s="47" t="s">
        <v>6</v>
      </c>
      <c r="D139" s="68">
        <v>36077760</v>
      </c>
      <c r="E139" s="56">
        <f>15000000</f>
        <v>15000000</v>
      </c>
      <c r="F139" s="56">
        <f t="shared" si="34"/>
        <v>51077760</v>
      </c>
      <c r="G139" s="7"/>
      <c r="H139" s="2"/>
    </row>
    <row r="140" spans="1:8" ht="24" customHeight="1">
      <c r="A140" s="66" t="s">
        <v>167</v>
      </c>
      <c r="B140" s="66" t="s">
        <v>166</v>
      </c>
      <c r="C140" s="48" t="s">
        <v>165</v>
      </c>
      <c r="D140" s="46">
        <v>9300000</v>
      </c>
      <c r="E140" s="44">
        <f>E141</f>
        <v>-3000000</v>
      </c>
      <c r="F140" s="44">
        <f t="shared" si="34"/>
        <v>6300000</v>
      </c>
      <c r="G140" s="7"/>
      <c r="H140" s="2"/>
    </row>
    <row r="141" spans="1:8" ht="23.25" customHeight="1">
      <c r="A141" s="57"/>
      <c r="B141" s="57"/>
      <c r="C141" s="47" t="s">
        <v>6</v>
      </c>
      <c r="D141" s="68">
        <v>9300000</v>
      </c>
      <c r="E141" s="56">
        <v>-3000000</v>
      </c>
      <c r="F141" s="56">
        <f t="shared" si="34"/>
        <v>6300000</v>
      </c>
      <c r="G141" s="7"/>
      <c r="H141" s="2"/>
    </row>
    <row r="142" spans="1:8" ht="34.5" customHeight="1">
      <c r="A142" s="66" t="s">
        <v>163</v>
      </c>
      <c r="B142" s="66" t="s">
        <v>162</v>
      </c>
      <c r="C142" s="48" t="s">
        <v>164</v>
      </c>
      <c r="D142" s="46">
        <v>6000000</v>
      </c>
      <c r="E142" s="44">
        <f>E143</f>
        <v>260000</v>
      </c>
      <c r="F142" s="44">
        <f t="shared" ref="F142:F143" si="35">D142+E142</f>
        <v>6260000</v>
      </c>
      <c r="G142" s="7"/>
      <c r="H142" s="2"/>
    </row>
    <row r="143" spans="1:8" ht="20.25" customHeight="1">
      <c r="A143" s="57"/>
      <c r="B143" s="57"/>
      <c r="C143" s="47" t="s">
        <v>6</v>
      </c>
      <c r="D143" s="68">
        <v>6000000</v>
      </c>
      <c r="E143" s="56">
        <v>260000</v>
      </c>
      <c r="F143" s="56">
        <f t="shared" si="35"/>
        <v>6260000</v>
      </c>
      <c r="G143" s="7"/>
      <c r="H143" s="2"/>
    </row>
    <row r="144" spans="1:8" ht="39.75" customHeight="1">
      <c r="A144" s="75" t="s">
        <v>168</v>
      </c>
      <c r="B144" s="74" t="s">
        <v>128</v>
      </c>
      <c r="C144" s="48" t="s">
        <v>129</v>
      </c>
      <c r="D144" s="46">
        <v>15230000</v>
      </c>
      <c r="E144" s="44">
        <f>E145</f>
        <v>57955800</v>
      </c>
      <c r="F144" s="44">
        <f t="shared" ref="F144:F158" si="36">D144+E144</f>
        <v>73185800</v>
      </c>
      <c r="G144" s="7"/>
      <c r="H144" s="2"/>
    </row>
    <row r="145" spans="1:9" ht="20.25" customHeight="1">
      <c r="A145" s="57"/>
      <c r="B145" s="57"/>
      <c r="C145" s="47" t="s">
        <v>6</v>
      </c>
      <c r="D145" s="68">
        <v>15230000</v>
      </c>
      <c r="E145" s="56">
        <v>57955800</v>
      </c>
      <c r="F145" s="56">
        <f t="shared" si="36"/>
        <v>73185800</v>
      </c>
      <c r="G145" s="7"/>
      <c r="H145" s="2"/>
    </row>
    <row r="146" spans="1:9" ht="20.25" customHeight="1">
      <c r="A146" s="75" t="s">
        <v>169</v>
      </c>
      <c r="B146" s="74" t="s">
        <v>59</v>
      </c>
      <c r="C146" s="48" t="s">
        <v>137</v>
      </c>
      <c r="D146" s="46">
        <f>D147</f>
        <v>766851</v>
      </c>
      <c r="E146" s="44">
        <f>E148</f>
        <v>763417</v>
      </c>
      <c r="F146" s="44">
        <f t="shared" si="36"/>
        <v>1530268</v>
      </c>
      <c r="G146" s="7"/>
      <c r="H146" s="2"/>
    </row>
    <row r="147" spans="1:9" ht="69" customHeight="1">
      <c r="A147" s="75"/>
      <c r="B147" s="74"/>
      <c r="C147" s="110" t="s">
        <v>196</v>
      </c>
      <c r="D147" s="46">
        <f>D148</f>
        <v>766851</v>
      </c>
      <c r="E147" s="44">
        <f>E148</f>
        <v>763417</v>
      </c>
      <c r="F147" s="44">
        <f>D147+E147</f>
        <v>1530268</v>
      </c>
      <c r="G147" s="7"/>
      <c r="H147" s="2"/>
    </row>
    <row r="148" spans="1:9" ht="20.25" customHeight="1">
      <c r="A148" s="57"/>
      <c r="B148" s="57"/>
      <c r="C148" s="47" t="s">
        <v>6</v>
      </c>
      <c r="D148" s="68">
        <v>766851</v>
      </c>
      <c r="E148" s="56">
        <v>763417</v>
      </c>
      <c r="F148" s="56">
        <f t="shared" si="36"/>
        <v>1530268</v>
      </c>
      <c r="G148" s="7"/>
      <c r="H148" s="2"/>
    </row>
    <row r="149" spans="1:9" ht="63" customHeight="1">
      <c r="A149" s="69" t="s">
        <v>198</v>
      </c>
      <c r="B149" s="49"/>
      <c r="C149" s="49" t="s">
        <v>197</v>
      </c>
      <c r="D149" s="29">
        <f>D150</f>
        <v>3580900</v>
      </c>
      <c r="E149" s="29">
        <f>E150</f>
        <v>6520000</v>
      </c>
      <c r="F149" s="29">
        <f t="shared" ref="F149:F153" si="37">D149+E149</f>
        <v>10100900</v>
      </c>
      <c r="G149" s="7"/>
      <c r="H149" s="2"/>
    </row>
    <row r="150" spans="1:9" ht="62.25" customHeight="1">
      <c r="A150" s="69" t="s">
        <v>44</v>
      </c>
      <c r="B150" s="49"/>
      <c r="C150" s="49" t="s">
        <v>197</v>
      </c>
      <c r="D150" s="29">
        <v>3580900</v>
      </c>
      <c r="E150" s="29">
        <f>E152</f>
        <v>6520000</v>
      </c>
      <c r="F150" s="29">
        <f t="shared" si="37"/>
        <v>10100900</v>
      </c>
      <c r="G150" s="7"/>
      <c r="H150" s="2"/>
    </row>
    <row r="151" spans="1:9" ht="20.25" customHeight="1">
      <c r="A151" s="70"/>
      <c r="B151" s="67"/>
      <c r="C151" s="67" t="s">
        <v>6</v>
      </c>
      <c r="D151" s="45">
        <v>3580900</v>
      </c>
      <c r="E151" s="45">
        <f>E153</f>
        <v>6520000</v>
      </c>
      <c r="F151" s="45">
        <f t="shared" si="37"/>
        <v>10100900</v>
      </c>
      <c r="G151" s="7"/>
      <c r="H151" s="2"/>
    </row>
    <row r="152" spans="1:9" ht="41.25" customHeight="1">
      <c r="A152" s="75" t="s">
        <v>199</v>
      </c>
      <c r="B152" s="74" t="s">
        <v>128</v>
      </c>
      <c r="C152" s="48" t="s">
        <v>129</v>
      </c>
      <c r="D152" s="46">
        <f>D153</f>
        <v>0</v>
      </c>
      <c r="E152" s="44">
        <f>E153</f>
        <v>6520000</v>
      </c>
      <c r="F152" s="44">
        <f t="shared" si="37"/>
        <v>6520000</v>
      </c>
      <c r="G152" s="7"/>
      <c r="H152" s="2"/>
    </row>
    <row r="153" spans="1:9" ht="20.25" customHeight="1">
      <c r="A153" s="57"/>
      <c r="B153" s="57"/>
      <c r="C153" s="47" t="s">
        <v>6</v>
      </c>
      <c r="D153" s="68">
        <v>0</v>
      </c>
      <c r="E153" s="56">
        <f>6520000</f>
        <v>6520000</v>
      </c>
      <c r="F153" s="56">
        <f t="shared" si="37"/>
        <v>6520000</v>
      </c>
      <c r="G153" s="7"/>
      <c r="H153" s="2"/>
    </row>
    <row r="154" spans="1:9" ht="75" customHeight="1">
      <c r="A154" s="69" t="s">
        <v>43</v>
      </c>
      <c r="B154" s="49"/>
      <c r="C154" s="49" t="s">
        <v>42</v>
      </c>
      <c r="D154" s="29">
        <f>D155</f>
        <v>3260000</v>
      </c>
      <c r="E154" s="29">
        <f>E155</f>
        <v>-23100</v>
      </c>
      <c r="F154" s="29">
        <f t="shared" si="36"/>
        <v>3236900</v>
      </c>
      <c r="G154" s="7"/>
      <c r="H154" s="2"/>
    </row>
    <row r="155" spans="1:9" ht="75" customHeight="1">
      <c r="A155" s="69" t="s">
        <v>44</v>
      </c>
      <c r="B155" s="49"/>
      <c r="C155" s="49" t="s">
        <v>42</v>
      </c>
      <c r="D155" s="29">
        <v>3260000</v>
      </c>
      <c r="E155" s="29">
        <f>E157</f>
        <v>-23100</v>
      </c>
      <c r="F155" s="29">
        <f t="shared" si="36"/>
        <v>3236900</v>
      </c>
      <c r="G155" s="7"/>
      <c r="H155" s="2"/>
    </row>
    <row r="156" spans="1:9" ht="20.25" customHeight="1">
      <c r="A156" s="70"/>
      <c r="B156" s="67"/>
      <c r="C156" s="67" t="s">
        <v>6</v>
      </c>
      <c r="D156" s="45">
        <v>910000</v>
      </c>
      <c r="E156" s="45">
        <f>E158</f>
        <v>-23100</v>
      </c>
      <c r="F156" s="45">
        <f t="shared" si="36"/>
        <v>886900</v>
      </c>
      <c r="G156" s="7"/>
      <c r="H156" s="2"/>
    </row>
    <row r="157" spans="1:9" ht="54.75" customHeight="1">
      <c r="A157" s="75" t="s">
        <v>176</v>
      </c>
      <c r="B157" s="74" t="s">
        <v>177</v>
      </c>
      <c r="C157" s="48" t="s">
        <v>175</v>
      </c>
      <c r="D157" s="46">
        <f>D158</f>
        <v>0</v>
      </c>
      <c r="E157" s="44">
        <f>E158</f>
        <v>-23100</v>
      </c>
      <c r="F157" s="44">
        <f t="shared" si="36"/>
        <v>-23100</v>
      </c>
      <c r="G157" s="7"/>
      <c r="H157" s="2"/>
    </row>
    <row r="158" spans="1:9" ht="29.25" customHeight="1" thickBot="1">
      <c r="A158" s="57"/>
      <c r="B158" s="57"/>
      <c r="C158" s="47" t="s">
        <v>6</v>
      </c>
      <c r="D158" s="68">
        <v>0</v>
      </c>
      <c r="E158" s="56">
        <v>-23100</v>
      </c>
      <c r="F158" s="56">
        <f t="shared" si="36"/>
        <v>-23100</v>
      </c>
      <c r="G158" s="7"/>
      <c r="H158" s="2"/>
    </row>
    <row r="159" spans="1:9" ht="58.5" customHeight="1" thickBot="1">
      <c r="A159" s="11"/>
      <c r="B159" s="11"/>
      <c r="C159" s="36" t="s">
        <v>25</v>
      </c>
      <c r="D159" s="42">
        <f>D28+D95</f>
        <v>6014554705.2699995</v>
      </c>
      <c r="E159" s="42">
        <f>E28+E95</f>
        <v>234551696</v>
      </c>
      <c r="F159" s="42">
        <f t="shared" ref="F159" si="38">D159+E159</f>
        <v>6249106401.2699995</v>
      </c>
      <c r="G159" s="7"/>
      <c r="H159" s="88"/>
      <c r="I159" s="89"/>
    </row>
    <row r="160" spans="1:9" ht="38.25" customHeight="1" thickBot="1">
      <c r="A160" s="11"/>
      <c r="B160" s="62"/>
      <c r="C160" s="36" t="s">
        <v>10</v>
      </c>
      <c r="D160" s="26">
        <f>D161+D162</f>
        <v>-274929573.51999998</v>
      </c>
      <c r="E160" s="26">
        <f>E161+E162</f>
        <v>45550885</v>
      </c>
      <c r="F160" s="26">
        <f t="shared" ref="F160:F165" si="39">D160+E160</f>
        <v>-229378688.51999998</v>
      </c>
      <c r="G160" s="7"/>
      <c r="H160" s="2"/>
      <c r="I160" s="71"/>
    </row>
    <row r="161" spans="1:12" ht="67.5" customHeight="1" thickBot="1">
      <c r="A161" s="58"/>
      <c r="B161" s="58"/>
      <c r="C161" s="59" t="s">
        <v>14</v>
      </c>
      <c r="D161" s="60">
        <f>192309002.48</f>
        <v>192309002.47999999</v>
      </c>
      <c r="E161" s="60">
        <f>79255068+15000000+90000+430000+81000+50000-5000-10000000+4400000+248280+6520000</f>
        <v>96069348</v>
      </c>
      <c r="F161" s="60">
        <f t="shared" si="39"/>
        <v>288378350.48000002</v>
      </c>
      <c r="G161" s="7"/>
      <c r="H161" s="2"/>
      <c r="I161" s="71"/>
    </row>
    <row r="162" spans="1:12" ht="68.25" customHeight="1" thickBot="1">
      <c r="A162" s="22"/>
      <c r="B162" s="65"/>
      <c r="C162" s="39" t="s">
        <v>4</v>
      </c>
      <c r="D162" s="43">
        <f>-467075896-162680</f>
        <v>-467238576</v>
      </c>
      <c r="E162" s="43">
        <f>-E165</f>
        <v>-50518463</v>
      </c>
      <c r="F162" s="43">
        <f t="shared" si="39"/>
        <v>-517757039</v>
      </c>
      <c r="G162" s="7"/>
      <c r="H162" s="88"/>
      <c r="I162" s="71"/>
    </row>
    <row r="163" spans="1:12" ht="38.25" customHeight="1" thickBot="1">
      <c r="A163" s="11"/>
      <c r="B163" s="62"/>
      <c r="C163" s="36" t="s">
        <v>11</v>
      </c>
      <c r="D163" s="26">
        <f>SUM(D164:D165)</f>
        <v>524525441</v>
      </c>
      <c r="E163" s="26">
        <f>SUM(E164:E165)</f>
        <v>50518463</v>
      </c>
      <c r="F163" s="26">
        <f t="shared" si="39"/>
        <v>575043904</v>
      </c>
      <c r="G163" s="7"/>
      <c r="H163" s="2"/>
      <c r="I163" s="71"/>
    </row>
    <row r="164" spans="1:12" ht="72.75" hidden="1" customHeight="1" thickBot="1">
      <c r="A164" s="61"/>
      <c r="B164" s="61"/>
      <c r="C164" s="59" t="s">
        <v>15</v>
      </c>
      <c r="D164" s="60">
        <v>57286865</v>
      </c>
      <c r="E164" s="60"/>
      <c r="F164" s="60">
        <f t="shared" si="39"/>
        <v>57286865</v>
      </c>
      <c r="G164" s="7"/>
      <c r="H164" s="2"/>
      <c r="I164" s="71"/>
      <c r="K164" s="71"/>
    </row>
    <row r="165" spans="1:12" ht="70.5" customHeight="1" thickBot="1">
      <c r="A165" s="22"/>
      <c r="B165" s="65"/>
      <c r="C165" s="39" t="s">
        <v>5</v>
      </c>
      <c r="D165" s="43">
        <f>467075896+162680</f>
        <v>467238576</v>
      </c>
      <c r="E165" s="43">
        <f>E96</f>
        <v>50518463</v>
      </c>
      <c r="F165" s="43">
        <f t="shared" si="39"/>
        <v>517757039</v>
      </c>
      <c r="G165" s="7"/>
      <c r="H165" s="2"/>
      <c r="I165" s="73"/>
    </row>
    <row r="166" spans="1:12" ht="18.75" customHeight="1">
      <c r="A166" s="23"/>
      <c r="B166" s="23"/>
      <c r="C166" s="24"/>
      <c r="D166" s="7"/>
      <c r="E166" s="7"/>
      <c r="F166" s="7"/>
      <c r="G166" s="7"/>
      <c r="H166" s="2"/>
    </row>
    <row r="167" spans="1:12" ht="110.25" customHeight="1">
      <c r="A167" s="122" t="s">
        <v>27</v>
      </c>
      <c r="B167" s="122"/>
      <c r="C167" s="122"/>
      <c r="D167" s="10"/>
      <c r="E167" s="54" t="s">
        <v>28</v>
      </c>
      <c r="F167" s="12"/>
      <c r="G167" s="12"/>
      <c r="H167" s="2"/>
      <c r="J167" s="30"/>
      <c r="K167" s="30"/>
      <c r="L167" s="30"/>
    </row>
    <row r="168" spans="1:12" ht="23.25" customHeight="1">
      <c r="A168" s="15"/>
      <c r="B168" s="15"/>
      <c r="C168" s="13"/>
      <c r="D168" s="10"/>
      <c r="E168" s="14"/>
      <c r="F168" s="12"/>
      <c r="G168" s="12"/>
      <c r="H168" s="2"/>
      <c r="J168" s="30"/>
      <c r="K168" s="30"/>
      <c r="L168" s="30"/>
    </row>
    <row r="169" spans="1:12" ht="20.25">
      <c r="A169" s="10"/>
      <c r="B169" s="10"/>
      <c r="E169" s="10"/>
      <c r="F169" s="5"/>
      <c r="G169" s="5"/>
      <c r="H169" s="2"/>
      <c r="J169" s="30"/>
      <c r="K169" s="30"/>
      <c r="L169" s="30"/>
    </row>
    <row r="170" spans="1:12" ht="18.75">
      <c r="A170" s="8"/>
      <c r="B170" s="8"/>
      <c r="C170" s="9"/>
      <c r="D170" s="5"/>
      <c r="E170" s="5"/>
      <c r="F170" s="5"/>
      <c r="G170" s="5"/>
      <c r="H170" s="2"/>
    </row>
    <row r="171" spans="1:12" ht="18.75">
      <c r="A171" s="8"/>
      <c r="B171" s="8"/>
      <c r="C171" s="9"/>
      <c r="D171" s="5"/>
      <c r="E171" s="25"/>
      <c r="F171" s="5"/>
      <c r="G171" s="5"/>
      <c r="H171" s="2"/>
    </row>
    <row r="172" spans="1:12" ht="18.75">
      <c r="A172" s="8"/>
      <c r="B172" s="8"/>
      <c r="C172" s="9"/>
      <c r="D172" s="5"/>
      <c r="E172" s="5"/>
      <c r="F172" s="5"/>
      <c r="G172" s="5"/>
      <c r="H172" s="2"/>
      <c r="I172" s="32"/>
      <c r="J172" s="32"/>
      <c r="K172" s="32"/>
    </row>
    <row r="173" spans="1:12" ht="18.75">
      <c r="A173" s="8"/>
      <c r="B173" s="8"/>
      <c r="C173" s="9"/>
      <c r="D173" s="5"/>
      <c r="E173" s="5"/>
      <c r="F173" s="5"/>
      <c r="G173" s="5"/>
      <c r="H173" s="2"/>
    </row>
    <row r="174" spans="1:12" ht="18.75">
      <c r="A174" s="8"/>
      <c r="B174" s="8"/>
      <c r="C174" s="9"/>
      <c r="D174" s="5"/>
      <c r="E174" s="5"/>
      <c r="F174" s="5"/>
      <c r="G174" s="5"/>
      <c r="H174" s="2"/>
    </row>
    <row r="175" spans="1:12" ht="18.75">
      <c r="A175" s="8"/>
      <c r="B175" s="8"/>
      <c r="C175" s="9"/>
      <c r="D175" s="5"/>
      <c r="E175" s="5"/>
      <c r="F175" s="5"/>
      <c r="G175" s="5"/>
      <c r="H175" s="2"/>
    </row>
    <row r="176" spans="1:12" ht="18.75">
      <c r="A176" s="8"/>
      <c r="B176" s="8"/>
      <c r="C176" s="9"/>
      <c r="D176" s="5"/>
      <c r="E176" s="5"/>
      <c r="F176" s="5"/>
      <c r="G176" s="5"/>
      <c r="H176" s="2"/>
    </row>
    <row r="177" spans="1:8" ht="18.75">
      <c r="A177" s="8"/>
      <c r="B177" s="8"/>
      <c r="C177" s="9"/>
      <c r="D177" s="5"/>
      <c r="E177" s="5"/>
      <c r="F177" s="5"/>
      <c r="G177" s="5"/>
      <c r="H177" s="2"/>
    </row>
    <row r="178" spans="1:8" ht="18.75">
      <c r="A178" s="8"/>
      <c r="B178" s="8"/>
      <c r="C178" s="9"/>
      <c r="D178" s="5"/>
      <c r="E178" s="5"/>
      <c r="F178" s="5"/>
      <c r="G178" s="5"/>
      <c r="H178" s="2"/>
    </row>
    <row r="179" spans="1:8" ht="18.75">
      <c r="A179" s="8"/>
      <c r="B179" s="8"/>
      <c r="C179" s="9"/>
      <c r="D179" s="5"/>
      <c r="E179" s="5"/>
      <c r="F179" s="5"/>
      <c r="G179" s="5"/>
      <c r="H179" s="2"/>
    </row>
    <row r="180" spans="1:8" ht="18.75">
      <c r="A180" s="8"/>
      <c r="B180" s="8"/>
      <c r="C180" s="9"/>
      <c r="D180" s="5"/>
      <c r="E180" s="5"/>
      <c r="F180" s="5"/>
      <c r="G180" s="5"/>
      <c r="H180" s="2"/>
    </row>
    <row r="181" spans="1:8">
      <c r="A181" s="3"/>
      <c r="B181" s="3"/>
      <c r="C181" s="2"/>
      <c r="H181" s="2"/>
    </row>
    <row r="182" spans="1:8">
      <c r="A182" s="3"/>
      <c r="B182" s="3"/>
      <c r="C182" s="2"/>
      <c r="H182" s="2"/>
    </row>
    <row r="183" spans="1:8">
      <c r="A183" s="3"/>
      <c r="B183" s="3"/>
      <c r="C183" s="2"/>
      <c r="H183" s="2"/>
    </row>
    <row r="184" spans="1:8">
      <c r="A184" s="3"/>
      <c r="B184" s="3"/>
      <c r="C184" s="2"/>
      <c r="H184" s="2"/>
    </row>
    <row r="185" spans="1:8">
      <c r="A185" s="3"/>
      <c r="B185" s="3"/>
      <c r="C185" s="2"/>
      <c r="H185" s="2"/>
    </row>
    <row r="186" spans="1:8">
      <c r="A186" s="3"/>
      <c r="B186" s="3"/>
      <c r="C186" s="2"/>
      <c r="H186" s="2"/>
    </row>
    <row r="187" spans="1:8">
      <c r="A187" s="3"/>
      <c r="B187" s="3"/>
      <c r="C187" s="2"/>
      <c r="H187" s="2"/>
    </row>
    <row r="188" spans="1:8">
      <c r="A188" s="3"/>
      <c r="B188" s="3"/>
      <c r="C188" s="2"/>
      <c r="H188" s="2"/>
    </row>
    <row r="189" spans="1:8">
      <c r="A189" s="3"/>
      <c r="B189" s="3"/>
      <c r="C189" s="2"/>
      <c r="H189" s="2"/>
    </row>
    <row r="190" spans="1:8">
      <c r="A190" s="3"/>
      <c r="B190" s="3"/>
      <c r="C190" s="2"/>
      <c r="H190" s="2"/>
    </row>
    <row r="191" spans="1:8">
      <c r="A191" s="3"/>
      <c r="B191" s="3"/>
      <c r="C191" s="2"/>
      <c r="H191" s="2"/>
    </row>
    <row r="192" spans="1:8">
      <c r="A192" s="3"/>
      <c r="B192" s="3"/>
      <c r="C192" s="2"/>
      <c r="H192" s="2"/>
    </row>
    <row r="193" spans="1:8">
      <c r="A193" s="3"/>
      <c r="B193" s="3"/>
      <c r="C193" s="2"/>
      <c r="H193" s="2"/>
    </row>
    <row r="194" spans="1:8">
      <c r="A194" s="3"/>
      <c r="B194" s="3"/>
      <c r="C194" s="2"/>
      <c r="H194" s="2"/>
    </row>
    <row r="195" spans="1:8">
      <c r="A195" s="3"/>
      <c r="B195" s="3"/>
      <c r="C195" s="2"/>
      <c r="H195" s="2"/>
    </row>
    <row r="196" spans="1:8">
      <c r="A196" s="3"/>
      <c r="B196" s="3"/>
      <c r="C196" s="2"/>
      <c r="H196" s="2"/>
    </row>
    <row r="197" spans="1:8">
      <c r="A197" s="3"/>
      <c r="B197" s="3"/>
      <c r="C197" s="2"/>
      <c r="H197" s="2"/>
    </row>
    <row r="198" spans="1:8">
      <c r="A198" s="3"/>
      <c r="B198" s="3"/>
      <c r="C198" s="2"/>
      <c r="H198" s="2"/>
    </row>
    <row r="199" spans="1:8">
      <c r="A199" s="3"/>
      <c r="B199" s="3"/>
      <c r="C199" s="2"/>
      <c r="H199" s="2"/>
    </row>
    <row r="200" spans="1:8">
      <c r="A200" s="3"/>
      <c r="B200" s="3"/>
      <c r="C200" s="2"/>
      <c r="H200" s="2"/>
    </row>
    <row r="201" spans="1:8">
      <c r="A201" s="3"/>
      <c r="B201" s="3"/>
      <c r="C201" s="2"/>
      <c r="H201" s="2"/>
    </row>
    <row r="202" spans="1:8">
      <c r="A202" s="3"/>
      <c r="B202" s="3"/>
      <c r="C202" s="2"/>
      <c r="H202" s="2"/>
    </row>
    <row r="203" spans="1:8">
      <c r="A203" s="3"/>
      <c r="B203" s="3"/>
      <c r="C203" s="2"/>
      <c r="H203" s="2"/>
    </row>
    <row r="204" spans="1:8">
      <c r="A204" s="3"/>
      <c r="B204" s="3"/>
      <c r="C204" s="2"/>
      <c r="H204" s="2"/>
    </row>
    <row r="205" spans="1:8">
      <c r="A205" s="3"/>
      <c r="B205" s="3"/>
      <c r="C205" s="2"/>
      <c r="H205" s="2"/>
    </row>
    <row r="206" spans="1:8">
      <c r="A206" s="3"/>
      <c r="B206" s="3"/>
      <c r="C206" s="2"/>
      <c r="H206" s="2"/>
    </row>
    <row r="207" spans="1:8">
      <c r="A207" s="3"/>
      <c r="B207" s="3"/>
      <c r="C207" s="2"/>
      <c r="H207" s="2"/>
    </row>
    <row r="208" spans="1:8">
      <c r="A208" s="3"/>
      <c r="B208" s="3"/>
      <c r="C208" s="2"/>
      <c r="H208" s="2"/>
    </row>
    <row r="209" spans="1:8">
      <c r="A209" s="3"/>
      <c r="B209" s="3"/>
      <c r="C209" s="2"/>
      <c r="H209" s="2"/>
    </row>
    <row r="210" spans="1:8">
      <c r="A210" s="3"/>
      <c r="B210" s="3"/>
      <c r="C210" s="2"/>
      <c r="H210" s="2"/>
    </row>
    <row r="211" spans="1:8">
      <c r="A211" s="3"/>
      <c r="B211" s="3"/>
      <c r="C211" s="2"/>
    </row>
    <row r="212" spans="1:8">
      <c r="A212" s="3"/>
      <c r="B212" s="3"/>
      <c r="C212" s="2"/>
    </row>
    <row r="213" spans="1:8">
      <c r="A213" s="3"/>
      <c r="B213" s="3"/>
      <c r="C213" s="2"/>
    </row>
    <row r="214" spans="1:8">
      <c r="A214" s="3"/>
      <c r="B214" s="3"/>
      <c r="C214" s="2"/>
    </row>
    <row r="215" spans="1:8">
      <c r="A215" s="3"/>
      <c r="B215" s="3"/>
      <c r="C215" s="2"/>
    </row>
    <row r="216" spans="1:8">
      <c r="A216" s="3"/>
      <c r="B216" s="3"/>
      <c r="C216" s="2"/>
    </row>
    <row r="217" spans="1:8">
      <c r="A217" s="3"/>
      <c r="B217" s="3"/>
      <c r="C217" s="2"/>
    </row>
    <row r="218" spans="1:8">
      <c r="A218" s="3"/>
      <c r="B218" s="3"/>
      <c r="C218" s="2"/>
    </row>
    <row r="219" spans="1:8">
      <c r="A219" s="3"/>
      <c r="B219" s="3"/>
      <c r="C219" s="2"/>
    </row>
    <row r="220" spans="1:8">
      <c r="A220" s="3"/>
      <c r="B220" s="3"/>
      <c r="C220" s="2"/>
    </row>
    <row r="221" spans="1:8">
      <c r="A221" s="3"/>
      <c r="B221" s="3"/>
      <c r="C221" s="2"/>
    </row>
    <row r="222" spans="1:8">
      <c r="A222" s="3"/>
      <c r="B222" s="3"/>
      <c r="C222" s="2"/>
    </row>
    <row r="223" spans="1:8">
      <c r="A223" s="3"/>
      <c r="B223" s="3"/>
      <c r="C223" s="2"/>
    </row>
    <row r="224" spans="1:8">
      <c r="A224" s="3"/>
      <c r="B224" s="3"/>
      <c r="C224" s="2"/>
    </row>
    <row r="225" spans="1:3">
      <c r="A225" s="3"/>
      <c r="B225" s="3"/>
      <c r="C225" s="2"/>
    </row>
    <row r="226" spans="1:3">
      <c r="A226" s="3"/>
      <c r="B226" s="3"/>
      <c r="C226" s="2"/>
    </row>
    <row r="227" spans="1:3">
      <c r="A227" s="3"/>
      <c r="B227" s="3"/>
      <c r="C227" s="2"/>
    </row>
    <row r="228" spans="1:3">
      <c r="A228" s="3"/>
      <c r="B228" s="3"/>
      <c r="C228" s="2"/>
    </row>
    <row r="229" spans="1:3">
      <c r="A229" s="3"/>
      <c r="B229" s="3"/>
      <c r="C229" s="2"/>
    </row>
    <row r="230" spans="1:3">
      <c r="A230" s="3"/>
      <c r="B230" s="3"/>
      <c r="C230" s="2"/>
    </row>
    <row r="231" spans="1:3">
      <c r="A231" s="3"/>
      <c r="B231" s="3"/>
      <c r="C231" s="2"/>
    </row>
    <row r="232" spans="1:3">
      <c r="A232" s="3"/>
      <c r="B232" s="3"/>
      <c r="C232" s="2"/>
    </row>
    <row r="233" spans="1:3">
      <c r="A233" s="3"/>
      <c r="B233" s="3"/>
      <c r="C233" s="2"/>
    </row>
    <row r="234" spans="1:3">
      <c r="A234" s="3"/>
      <c r="B234" s="3"/>
      <c r="C234" s="2"/>
    </row>
    <row r="235" spans="1:3">
      <c r="A235" s="3"/>
      <c r="B235" s="3"/>
      <c r="C235" s="2"/>
    </row>
    <row r="236" spans="1:3">
      <c r="A236" s="3"/>
      <c r="B236" s="3"/>
      <c r="C236" s="2"/>
    </row>
    <row r="237" spans="1:3">
      <c r="A237" s="3"/>
      <c r="B237" s="3"/>
      <c r="C237" s="2"/>
    </row>
    <row r="238" spans="1:3">
      <c r="A238" s="3"/>
      <c r="B238" s="3"/>
      <c r="C238" s="2"/>
    </row>
    <row r="239" spans="1:3">
      <c r="A239" s="3"/>
      <c r="B239" s="3"/>
      <c r="C239" s="2"/>
    </row>
    <row r="240" spans="1:3">
      <c r="A240" s="3"/>
      <c r="B240" s="3"/>
      <c r="C240" s="2"/>
    </row>
    <row r="241" spans="1:3">
      <c r="A241" s="3"/>
      <c r="B241" s="3"/>
      <c r="C241" s="2"/>
    </row>
    <row r="242" spans="1:3">
      <c r="A242" s="3"/>
      <c r="B242" s="3"/>
      <c r="C242" s="2"/>
    </row>
    <row r="243" spans="1:3">
      <c r="A243" s="3"/>
      <c r="B243" s="3"/>
      <c r="C243" s="2"/>
    </row>
    <row r="244" spans="1:3">
      <c r="A244" s="3"/>
      <c r="B244" s="3"/>
      <c r="C244" s="2"/>
    </row>
    <row r="245" spans="1:3">
      <c r="A245" s="3"/>
      <c r="B245" s="3"/>
    </row>
    <row r="246" spans="1:3">
      <c r="A246" s="3"/>
      <c r="B246" s="3"/>
    </row>
    <row r="247" spans="1:3">
      <c r="A247" s="3"/>
      <c r="B247" s="3"/>
    </row>
    <row r="248" spans="1:3">
      <c r="A248" s="3"/>
      <c r="B248" s="3"/>
    </row>
    <row r="249" spans="1:3">
      <c r="A249" s="3"/>
      <c r="B249" s="3"/>
    </row>
    <row r="250" spans="1:3">
      <c r="A250" s="3"/>
      <c r="B250" s="3"/>
    </row>
    <row r="251" spans="1:3">
      <c r="A251" s="3"/>
      <c r="B251" s="3"/>
    </row>
    <row r="252" spans="1:3">
      <c r="A252" s="3"/>
      <c r="B252" s="3"/>
    </row>
    <row r="253" spans="1:3">
      <c r="A253" s="3"/>
      <c r="B253" s="3"/>
    </row>
    <row r="254" spans="1:3">
      <c r="A254" s="3"/>
      <c r="B254" s="3"/>
    </row>
    <row r="255" spans="1:3">
      <c r="A255" s="3"/>
      <c r="B255" s="3"/>
    </row>
    <row r="256" spans="1:3">
      <c r="A256" s="3"/>
      <c r="B256" s="3"/>
    </row>
    <row r="257" spans="1:2">
      <c r="A257" s="3"/>
      <c r="B257" s="3"/>
    </row>
    <row r="258" spans="1:2">
      <c r="A258" s="3"/>
      <c r="B258" s="3"/>
    </row>
    <row r="259" spans="1:2">
      <c r="A259" s="3"/>
      <c r="B259" s="3"/>
    </row>
    <row r="260" spans="1:2">
      <c r="A260" s="3"/>
      <c r="B260" s="3"/>
    </row>
    <row r="261" spans="1:2">
      <c r="A261" s="3"/>
      <c r="B261" s="3"/>
    </row>
    <row r="262" spans="1:2">
      <c r="A262" s="3"/>
      <c r="B262" s="3"/>
    </row>
    <row r="263" spans="1:2">
      <c r="A263" s="3"/>
      <c r="B263" s="3"/>
    </row>
    <row r="264" spans="1:2">
      <c r="A264" s="3"/>
      <c r="B264" s="3"/>
    </row>
    <row r="265" spans="1:2">
      <c r="A265" s="3"/>
      <c r="B265" s="3"/>
    </row>
    <row r="266" spans="1:2">
      <c r="A266" s="3"/>
      <c r="B266" s="3"/>
    </row>
    <row r="267" spans="1:2">
      <c r="A267" s="3"/>
      <c r="B267" s="3"/>
    </row>
    <row r="268" spans="1:2">
      <c r="A268" s="3"/>
      <c r="B268" s="3"/>
    </row>
    <row r="269" spans="1:2">
      <c r="A269" s="3"/>
      <c r="B269" s="3"/>
    </row>
    <row r="270" spans="1:2">
      <c r="A270" s="3"/>
      <c r="B270" s="3"/>
    </row>
    <row r="271" spans="1:2">
      <c r="A271" s="3"/>
      <c r="B271" s="3"/>
    </row>
    <row r="272" spans="1:2">
      <c r="A272" s="3"/>
      <c r="B272" s="3"/>
    </row>
    <row r="273" spans="1:2">
      <c r="A273" s="3"/>
      <c r="B273" s="3"/>
    </row>
    <row r="274" spans="1:2">
      <c r="A274" s="3"/>
      <c r="B274" s="3"/>
    </row>
    <row r="275" spans="1:2">
      <c r="A275" s="3"/>
      <c r="B275" s="3"/>
    </row>
    <row r="276" spans="1:2">
      <c r="A276" s="3"/>
      <c r="B276" s="3"/>
    </row>
    <row r="277" spans="1:2">
      <c r="A277" s="3"/>
      <c r="B277" s="3"/>
    </row>
    <row r="278" spans="1:2">
      <c r="A278" s="3"/>
      <c r="B278" s="3"/>
    </row>
    <row r="279" spans="1:2">
      <c r="A279" s="3"/>
      <c r="B279" s="3"/>
    </row>
    <row r="280" spans="1:2">
      <c r="A280" s="3"/>
      <c r="B280" s="3"/>
    </row>
    <row r="281" spans="1:2">
      <c r="A281" s="3"/>
      <c r="B281" s="3"/>
    </row>
  </sheetData>
  <mergeCells count="8">
    <mergeCell ref="A167:C167"/>
    <mergeCell ref="A4:F4"/>
    <mergeCell ref="C7:C8"/>
    <mergeCell ref="D7:D8"/>
    <mergeCell ref="E7:E8"/>
    <mergeCell ref="F7:F8"/>
    <mergeCell ref="A7:A8"/>
    <mergeCell ref="B7:B8"/>
  </mergeCells>
  <phoneticPr fontId="0" type="noConversion"/>
  <pageMargins left="0.62992125984251968" right="0.39370078740157483" top="0.78740157480314965" bottom="0.62992125984251968" header="0.51181102362204722" footer="0.27559055118110237"/>
  <pageSetup paperSize="9" scale="67" orientation="portrait" r:id="rId1"/>
  <headerFooter differentFirst="1" alignWithMargins="0">
    <oddHeader xml:space="preserve">&amp;C&amp;"Times New Roman,курсив"&amp;14&amp;P&amp;R&amp;"Times New Roman,курсив"&amp;16Продовження додатка  </oddHeader>
  </headerFooter>
  <rowBreaks count="1" manualBreakCount="1">
    <brk id="16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додаток</vt:lpstr>
      <vt:lpstr>додаток!Заголовки_для_печати</vt:lpstr>
      <vt:lpstr>додаток!Область_печати</vt:lpstr>
    </vt:vector>
  </TitlesOfParts>
  <Company>OEM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org301</cp:lastModifiedBy>
  <cp:lastPrinted>2017-07-11T12:14:50Z</cp:lastPrinted>
  <dcterms:created xsi:type="dcterms:W3CDTF">2005-04-08T06:14:05Z</dcterms:created>
  <dcterms:modified xsi:type="dcterms:W3CDTF">2017-07-18T08:19:28Z</dcterms:modified>
</cp:coreProperties>
</file>