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1340" windowHeight="561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додаток!$A$1:$F$154</definedName>
  </definedNames>
  <calcPr calcId="124519"/>
</workbook>
</file>

<file path=xl/calcChain.xml><?xml version="1.0" encoding="utf-8"?>
<calcChain xmlns="http://schemas.openxmlformats.org/spreadsheetml/2006/main">
  <c r="E19" i="4"/>
  <c r="E96"/>
  <c r="E95"/>
  <c r="E111"/>
  <c r="E110"/>
  <c r="E112"/>
  <c r="E113"/>
  <c r="D109"/>
  <c r="F113"/>
  <c r="F112"/>
  <c r="F111"/>
  <c r="E109"/>
  <c r="F110"/>
  <c r="F109"/>
  <c r="E98" l="1"/>
  <c r="E99"/>
  <c r="E91" l="1"/>
  <c r="E88"/>
  <c r="E89"/>
  <c r="E90"/>
  <c r="E92"/>
  <c r="E93"/>
  <c r="E49"/>
  <c r="E48"/>
  <c r="D48"/>
  <c r="F49"/>
  <c r="E42"/>
  <c r="D39"/>
  <c r="E38"/>
  <c r="F38" s="1"/>
  <c r="D36"/>
  <c r="D37"/>
  <c r="E35"/>
  <c r="F35" s="1"/>
  <c r="E31"/>
  <c r="E32"/>
  <c r="F31"/>
  <c r="F32"/>
  <c r="E27"/>
  <c r="F27" s="1"/>
  <c r="F28"/>
  <c r="E20"/>
  <c r="E16"/>
  <c r="E30" l="1"/>
  <c r="F30" s="1"/>
  <c r="F48"/>
  <c r="E34"/>
  <c r="E37"/>
  <c r="E26" l="1"/>
  <c r="F34"/>
  <c r="E33"/>
  <c r="F33" s="1"/>
  <c r="E36"/>
  <c r="F36" s="1"/>
  <c r="F37"/>
  <c r="E25" l="1"/>
  <c r="D51"/>
  <c r="D10"/>
  <c r="E135" l="1"/>
  <c r="F135" s="1"/>
  <c r="F136"/>
  <c r="D85" l="1"/>
  <c r="D62"/>
  <c r="F62" s="1"/>
  <c r="D61"/>
  <c r="D99"/>
  <c r="F99" s="1"/>
  <c r="E107"/>
  <c r="E106" s="1"/>
  <c r="F106" s="1"/>
  <c r="F108"/>
  <c r="F107"/>
  <c r="E61"/>
  <c r="F61"/>
  <c r="E94"/>
  <c r="F94"/>
  <c r="F93"/>
  <c r="F92"/>
  <c r="F91"/>
  <c r="F90"/>
  <c r="F89"/>
  <c r="F88"/>
  <c r="E86"/>
  <c r="E85" s="1"/>
  <c r="F85" l="1"/>
  <c r="F86"/>
  <c r="F128" l="1"/>
  <c r="F129"/>
  <c r="E73"/>
  <c r="F42" l="1"/>
  <c r="F29"/>
  <c r="F26"/>
  <c r="F24"/>
  <c r="F23"/>
  <c r="E22"/>
  <c r="D22"/>
  <c r="E21"/>
  <c r="F21" s="1"/>
  <c r="F19"/>
  <c r="E18"/>
  <c r="D18"/>
  <c r="F16"/>
  <c r="E15"/>
  <c r="D15"/>
  <c r="F14"/>
  <c r="E13"/>
  <c r="F13" s="1"/>
  <c r="E47"/>
  <c r="E41" l="1"/>
  <c r="F15"/>
  <c r="F25"/>
  <c r="E12"/>
  <c r="F12" s="1"/>
  <c r="F18"/>
  <c r="E17"/>
  <c r="F17" s="1"/>
  <c r="F20"/>
  <c r="F22"/>
  <c r="F41" l="1"/>
  <c r="E40"/>
  <c r="E11"/>
  <c r="F11" s="1"/>
  <c r="F40" l="1"/>
  <c r="E39"/>
  <c r="F39" s="1"/>
  <c r="E10"/>
  <c r="D152"/>
  <c r="D149"/>
  <c r="D96"/>
  <c r="D95"/>
  <c r="D125"/>
  <c r="D124"/>
  <c r="D72"/>
  <c r="F72" s="1"/>
  <c r="D69"/>
  <c r="D67"/>
  <c r="D122"/>
  <c r="D121"/>
  <c r="D116"/>
  <c r="D115"/>
  <c r="D102"/>
  <c r="D100"/>
  <c r="D98"/>
  <c r="D54"/>
  <c r="D53"/>
  <c r="E134"/>
  <c r="F134" s="1"/>
  <c r="D130"/>
  <c r="E127"/>
  <c r="D127"/>
  <c r="D126"/>
  <c r="D73"/>
  <c r="F73"/>
  <c r="E54"/>
  <c r="E132" l="1"/>
  <c r="F132" s="1"/>
  <c r="E133"/>
  <c r="F133" s="1"/>
  <c r="F127"/>
  <c r="E125"/>
  <c r="E131"/>
  <c r="E130" s="1"/>
  <c r="E126"/>
  <c r="E124" s="1"/>
  <c r="F125"/>
  <c r="D123"/>
  <c r="E46"/>
  <c r="F131" l="1"/>
  <c r="F130" s="1"/>
  <c r="F124"/>
  <c r="F123" s="1"/>
  <c r="E123"/>
  <c r="F126"/>
  <c r="E80"/>
  <c r="F80" s="1"/>
  <c r="E74"/>
  <c r="E45"/>
  <c r="E44" s="1"/>
  <c r="E81"/>
  <c r="E77"/>
  <c r="D43"/>
  <c r="D79"/>
  <c r="D78" s="1"/>
  <c r="D77"/>
  <c r="D76"/>
  <c r="D75" s="1"/>
  <c r="E143"/>
  <c r="E142" s="1"/>
  <c r="D144"/>
  <c r="F144" s="1"/>
  <c r="D143"/>
  <c r="F145"/>
  <c r="E122"/>
  <c r="E121" s="1"/>
  <c r="E118"/>
  <c r="D142"/>
  <c r="D141" s="1"/>
  <c r="E140"/>
  <c r="E71"/>
  <c r="D74"/>
  <c r="D71"/>
  <c r="F71" s="1"/>
  <c r="E69"/>
  <c r="E70"/>
  <c r="D70"/>
  <c r="E68"/>
  <c r="E67" s="1"/>
  <c r="D68"/>
  <c r="E120"/>
  <c r="D120"/>
  <c r="D119"/>
  <c r="D117"/>
  <c r="F44" l="1"/>
  <c r="E43"/>
  <c r="F77"/>
  <c r="F74"/>
  <c r="E79"/>
  <c r="E78" s="1"/>
  <c r="F78" s="1"/>
  <c r="F81"/>
  <c r="E76"/>
  <c r="E75" s="1"/>
  <c r="F75" s="1"/>
  <c r="E139"/>
  <c r="E138" s="1"/>
  <c r="F143"/>
  <c r="E116"/>
  <c r="F121"/>
  <c r="F122"/>
  <c r="F70"/>
  <c r="E84"/>
  <c r="E65"/>
  <c r="E103"/>
  <c r="E102"/>
  <c r="E101"/>
  <c r="D105"/>
  <c r="D104"/>
  <c r="D103"/>
  <c r="D101"/>
  <c r="E59"/>
  <c r="E58"/>
  <c r="E57"/>
  <c r="E56"/>
  <c r="E55"/>
  <c r="D58"/>
  <c r="D55"/>
  <c r="E53" l="1"/>
  <c r="F79"/>
  <c r="F76"/>
  <c r="E100"/>
  <c r="F102"/>
  <c r="D137"/>
  <c r="F60"/>
  <c r="F59"/>
  <c r="F57"/>
  <c r="F56"/>
  <c r="F101" l="1"/>
  <c r="F68"/>
  <c r="F100" l="1"/>
  <c r="F104" l="1"/>
  <c r="F45" l="1"/>
  <c r="F47"/>
  <c r="F46"/>
  <c r="D50"/>
  <c r="F105"/>
  <c r="F140" l="1"/>
  <c r="F139"/>
  <c r="F138" l="1"/>
  <c r="F103"/>
  <c r="F10"/>
  <c r="E50"/>
  <c r="F50" s="1"/>
  <c r="F43"/>
  <c r="E137" l="1"/>
  <c r="F137" s="1"/>
  <c r="E64"/>
  <c r="F64" s="1"/>
  <c r="F65"/>
  <c r="E83"/>
  <c r="E63" l="1"/>
  <c r="D63"/>
  <c r="F63" l="1"/>
  <c r="F84"/>
  <c r="F83"/>
  <c r="E82"/>
  <c r="D82"/>
  <c r="E119"/>
  <c r="F119" s="1"/>
  <c r="F120"/>
  <c r="F118"/>
  <c r="D114"/>
  <c r="F116" l="1"/>
  <c r="F82"/>
  <c r="E117"/>
  <c r="D66"/>
  <c r="D148"/>
  <c r="D52"/>
  <c r="F55"/>
  <c r="F58"/>
  <c r="F117" l="1"/>
  <c r="E115"/>
  <c r="F115" s="1"/>
  <c r="F114" s="1"/>
  <c r="E152"/>
  <c r="E114" l="1"/>
  <c r="D97"/>
  <c r="F98" l="1"/>
  <c r="E97"/>
  <c r="F97" l="1"/>
  <c r="D147" l="1"/>
  <c r="D150"/>
  <c r="F151"/>
  <c r="F69"/>
  <c r="F54"/>
  <c r="F148"/>
  <c r="F152"/>
  <c r="E150"/>
  <c r="F150" l="1"/>
  <c r="D146"/>
  <c r="E149" l="1"/>
  <c r="F67"/>
  <c r="E66"/>
  <c r="F96"/>
  <c r="F66" l="1"/>
  <c r="F149"/>
  <c r="E147"/>
  <c r="E52"/>
  <c r="E51" s="1"/>
  <c r="F53"/>
  <c r="F147" l="1"/>
  <c r="F51"/>
  <c r="F52"/>
  <c r="E141" l="1"/>
  <c r="F142"/>
  <c r="F141" l="1"/>
  <c r="F95"/>
  <c r="E146"/>
  <c r="F146" l="1"/>
</calcChain>
</file>

<file path=xl/sharedStrings.xml><?xml version="1.0" encoding="utf-8"?>
<sst xmlns="http://schemas.openxmlformats.org/spreadsheetml/2006/main" count="248" uniqueCount="191">
  <si>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</si>
  <si>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</si>
  <si>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</si>
  <si>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</si>
  <si>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</si>
  <si>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</si>
  <si>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</si>
  <si>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Управління благоустрою та житлової політики виконкому Криворізької міської ради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</si>
  <si>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</si>
  <si>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</si>
  <si>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</si>
  <si>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</si>
  <si>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</si>
  <si>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 xml:space="preserve">Проект унесення змін до показників міського бюджету на 2017 рік </t>
  </si>
  <si>
    <t xml:space="preserve">Затверджено на 2017 рік </t>
  </si>
  <si>
    <t>Уточнені показники на 2017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</si>
  <si>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01.01.2017</t>
  </si>
  <si>
    <t xml:space="preserve"> - дефіцит за рахунок розподілу залишків коштів, що склалися на рахунках спеціального фонду міського бюджету станом на 01.01.2017</t>
  </si>
  <si>
    <t>Управління освіти і науки виконкому Криворізької міської ради</t>
  </si>
  <si>
    <t>1000000</t>
  </si>
  <si>
    <t>1010000</t>
  </si>
  <si>
    <t>Код  програмної класифікації видатків та кредитування місцевого бюджету</t>
  </si>
  <si>
    <t>Дошкільна освіта</t>
  </si>
  <si>
    <t>Надання загальної середньої освіти загальноосвітніми навчальними закладами (в т.ч. школою – дитячим садком, інтернатом при школі), спеціалізованими школами, ліцеями, гімназіями, колегіумами</t>
  </si>
  <si>
    <t>1011010</t>
  </si>
  <si>
    <t>1011020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</si>
  <si>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</si>
  <si>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</si>
  <si>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</si>
  <si>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Керуюча справами виконкому </t>
  </si>
  <si>
    <t>О.Шовгеля</t>
  </si>
  <si>
    <t xml:space="preserve">             Додаток </t>
  </si>
  <si>
    <t>Управління культури виконкому Криворізької міської ради</t>
  </si>
  <si>
    <t>Доходи загального фонду разом: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</si>
  <si>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</si>
  <si>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</si>
  <si>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 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</si>
  <si>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</si>
  <si>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2400000</t>
  </si>
  <si>
    <t>7450</t>
  </si>
  <si>
    <t>Сприяння розвитку малого та середнього підприємництва</t>
  </si>
  <si>
    <t>Інші видатки</t>
  </si>
  <si>
    <t>Інші заходи, пов'язані з економічною діяльністю</t>
  </si>
  <si>
    <t>Інша діяльність у сфері охорони навколишнього природного середовища</t>
  </si>
  <si>
    <t>у тому числі видатки споживання</t>
  </si>
  <si>
    <t>3200000</t>
  </si>
  <si>
    <t>3210000</t>
  </si>
  <si>
    <t>Управління розвитку підприємництва виконкому Криворізької міської ради</t>
  </si>
  <si>
    <t>3217450</t>
  </si>
  <si>
    <t>видатки розвитку</t>
  </si>
  <si>
    <t>6000000</t>
  </si>
  <si>
    <t>6010000</t>
  </si>
  <si>
    <t>Управління екології виконкому Криворізької міської ради</t>
  </si>
  <si>
    <t>6019140</t>
  </si>
  <si>
    <t>Доходи спеціального фонду разом:</t>
  </si>
  <si>
    <t>Доходи загального та спеціального фондів разом:</t>
  </si>
  <si>
    <t>з них оплата праці</t>
  </si>
  <si>
    <t>комунальні послуги та енергоносії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</si>
  <si>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</si>
  <si>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1011040</t>
  </si>
  <si>
    <t>7500</t>
  </si>
  <si>
    <t xml:space="preserve">Здійснення  централізованого господарського обслуговування </t>
  </si>
  <si>
    <t>1011200</t>
  </si>
  <si>
    <t>1200</t>
  </si>
  <si>
    <t>1210</t>
  </si>
  <si>
    <t>1011210</t>
  </si>
  <si>
    <t xml:space="preserve">Утримання інших закладів освіти </t>
  </si>
  <si>
    <t>1040</t>
  </si>
  <si>
    <t>Управління з питань надзвичайних ситуацій та цивільного захисту населення виконавчого комітету Криворізької міської ради</t>
  </si>
  <si>
    <t>6717840</t>
  </si>
  <si>
    <t>7840</t>
  </si>
  <si>
    <t>Організація рятування на водах</t>
  </si>
  <si>
    <t>2414060</t>
  </si>
  <si>
    <t>4060</t>
  </si>
  <si>
    <t>Бібліотеки</t>
  </si>
  <si>
    <t>2414070</t>
  </si>
  <si>
    <t>4070</t>
  </si>
  <si>
    <t>Музеї і виставки</t>
  </si>
  <si>
    <t>2414100</t>
  </si>
  <si>
    <t>4100</t>
  </si>
  <si>
    <t>Школи естетичного виховання дітей</t>
  </si>
  <si>
    <t>4016010</t>
  </si>
  <si>
    <t>6010</t>
  </si>
  <si>
    <t xml:space="preserve">Забезпечення надійного та безперебійного функціонування житлово-експлуатаційного господарства </t>
  </si>
  <si>
    <t>4016060</t>
  </si>
  <si>
    <t>6060</t>
  </si>
  <si>
    <t>Благоустрій міст, сіл, селищ</t>
  </si>
  <si>
    <t xml:space="preserve">з них комунальні послуги та енергоносії </t>
  </si>
  <si>
    <t>4016130</t>
  </si>
  <si>
    <t>6130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</si>
  <si>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</si>
  <si>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4018600</t>
  </si>
  <si>
    <t>8600</t>
  </si>
  <si>
    <t>6700000</t>
  </si>
  <si>
    <t>6710000</t>
  </si>
  <si>
    <t>6719140</t>
  </si>
  <si>
    <t>9140</t>
  </si>
  <si>
    <t>Управління комунальної власності міста виконкому Криворізької міської ради</t>
  </si>
  <si>
    <t>4500000</t>
  </si>
  <si>
    <t>4510000</t>
  </si>
  <si>
    <t>4518600</t>
  </si>
  <si>
    <t>4700000</t>
  </si>
  <si>
    <t>4710000</t>
  </si>
  <si>
    <t>4718600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</si>
  <si>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</si>
  <si>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</si>
  <si>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</si>
  <si>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4717500</t>
  </si>
  <si>
    <t xml:space="preserve">Надходження від продажу основного капіталу 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</si>
  <si>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</si>
  <si>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4017410</t>
  </si>
  <si>
    <t>7410</t>
  </si>
  <si>
    <t>4017500</t>
  </si>
  <si>
    <t>Заходи з енергозбереження</t>
  </si>
  <si>
    <t>4000000</t>
  </si>
  <si>
    <t>4010000</t>
  </si>
  <si>
    <t>4017470</t>
  </si>
  <si>
    <t>7470</t>
  </si>
  <si>
    <t>Внески до статутного капіталу суб’єктів господарювання</t>
  </si>
  <si>
    <t>4716310</t>
  </si>
  <si>
    <t>6310</t>
  </si>
  <si>
    <t>Реалізація заходів щодо інвестиційного розвитку території</t>
  </si>
  <si>
    <t>11020000</t>
  </si>
  <si>
    <t>Податок на прибуток підприємств</t>
  </si>
  <si>
    <t>11020200 </t>
  </si>
  <si>
    <t>Податок на прибуток підприємств та фінансових установ комунальної власності </t>
  </si>
  <si>
    <t>Внутрішні податки на товари та послуги</t>
  </si>
  <si>
    <t>Акцизний податок з вироблених в Україні підакцизних товарів (продукції) </t>
  </si>
  <si>
    <t>Пальне</t>
  </si>
  <si>
    <t>Місцеві податки</t>
  </si>
  <si>
    <t>Єдиний податок</t>
  </si>
  <si>
    <t>Єдиний податок з юридичних осіб</t>
  </si>
  <si>
    <t>Єдиний податок з фізичних осіб</t>
  </si>
  <si>
    <t>20000000</t>
  </si>
  <si>
    <t>Неподаткові надходження</t>
  </si>
  <si>
    <t>21000000</t>
  </si>
  <si>
    <t>Доходи від власності та пілприємницької діяльності</t>
  </si>
  <si>
    <t>21050000 </t>
  </si>
  <si>
    <t>Плата за розміщення тимчасово вільних коштів місцевих бюджетів </t>
  </si>
  <si>
    <t>Кошти від реалізації безхазяйного майна, знахідок, спадкового майна, майна, одержаного територіаль-ною громадою в порядку спадкува-ння чи дарування, а також валютні цінності і грошові кошти, власники яких невідомі </t>
  </si>
  <si>
    <t>Фінансове управління виконкому Криворізької міської ради</t>
  </si>
  <si>
    <t>Інші додаткові дотації</t>
  </si>
  <si>
    <t>у тому числі за бюджетами районних у місті рад:</t>
  </si>
  <si>
    <t>Металургійної</t>
  </si>
  <si>
    <t>Довгинцівської</t>
  </si>
  <si>
    <t>Покровської</t>
  </si>
  <si>
    <t>Інгулецької</t>
  </si>
  <si>
    <t>Саксаганської</t>
  </si>
  <si>
    <t>Тернівської</t>
  </si>
  <si>
    <t>Центрально-Міської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</si>
  <si>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</si>
  <si>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</si>
  <si>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5030</t>
  </si>
  <si>
    <t>5031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</si>
  <si>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</si>
  <si>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r>
      <t>14040000</t>
    </r>
    <r>
      <rPr>
        <sz val="14"/>
        <color indexed="8"/>
        <rFont val="Times New Roman"/>
        <family val="1"/>
        <charset val="204"/>
      </rPr>
      <t> </t>
    </r>
  </si>
  <si>
    <t>Акцизний податок з реалізації суб'єктами господарювання роздрібної торгівлі підакцизних товарів </t>
  </si>
  <si>
    <t>21010000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</si>
  <si>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</si>
  <si>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 xml:space="preserve">21010300
</t>
  </si>
  <si>
    <t xml:space="preserve">Частина чистого прибутку (доходу) комунальних унітарних підприємств та їх об'єднань, що вилучається до відповідного місцевого бюджету
</t>
  </si>
  <si>
    <t>21080000</t>
  </si>
  <si>
    <t>Інші надходження</t>
  </si>
  <si>
    <t>21081100</t>
  </si>
  <si>
    <t>21081500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</si>
  <si>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</si>
  <si>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</si>
  <si>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22000000</t>
  </si>
  <si>
    <t>22010000</t>
  </si>
  <si>
    <t>22012500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</si>
  <si>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</si>
  <si>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</si>
  <si>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</si>
  <si>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24000000</t>
  </si>
  <si>
    <t>24060000</t>
  </si>
  <si>
    <t>24060300</t>
  </si>
  <si>
    <t>Інші неподаткові надходження  </t>
  </si>
  <si>
    <t>Інші надходження  </t>
  </si>
  <si>
    <t>Доходи від операцій з капіталом  </t>
  </si>
  <si>
    <t>30000000</t>
  </si>
  <si>
    <t>50000000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</si>
  <si>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</si>
  <si>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</si>
  <si>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50110000</t>
  </si>
  <si>
    <t>1400000</t>
  </si>
  <si>
    <t>1410000</t>
  </si>
  <si>
    <t>Управління охорони  здоров'я виконкому Криворізької міської ради</t>
  </si>
  <si>
    <t>1418800</t>
  </si>
  <si>
    <t>8800</t>
  </si>
  <si>
    <t xml:space="preserve">Інші субвенції, у тому числі субвенція з міського бюджету обласному бюджету на придбання обладнання для КЗ «Криворізький психоневрологічний диспансер» ДОР» </t>
  </si>
  <si>
    <t xml:space="preserve">            10.05.2017 №217</t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</si>
</sst>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b/>
      <sz val="1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" fontId="23" fillId="0" borderId="0" xfId="0" applyNumberFormat="1" applyFont="1"/>
    <xf numFmtId="4" fontId="3" fillId="0" borderId="0" xfId="0" applyNumberFormat="1" applyFont="1" applyFill="1" applyBorder="1" applyAlignment="1">
      <alignment horizontal="center" vertical="center"/>
    </xf>
    <xf numFmtId="4" fontId="0" fillId="0" borderId="0" xfId="0" applyNumberFormat="1"/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0" fontId="24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ill="1"/>
    <xf numFmtId="4" fontId="23" fillId="0" borderId="0" xfId="0" applyNumberFormat="1" applyFont="1" applyFill="1"/>
    <xf numFmtId="0" fontId="2" fillId="0" borderId="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8"/>
  <sheetViews>
    <sheetView tabSelected="1" zoomScale="85" zoomScaleNormal="85" zoomScaleSheetLayoutView="89" workbookViewId="0">
      <selection activeCell="C3" sqref="C3"/>
    </sheetView>
  </sheetViews>
  <sheetFormatPr defaultRowHeight="12.75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21.42578125" customWidth="1"/>
    <col min="7" max="7" width="16.8554687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27" customHeight="1">
      <c r="A1" s="5"/>
      <c r="B1" s="5"/>
      <c r="C1" s="5"/>
      <c r="D1" s="53" t="s">
        <v>31</v>
      </c>
      <c r="E1" s="52"/>
      <c r="F1" s="33"/>
      <c r="G1" s="20"/>
    </row>
    <row r="2" spans="1:8" ht="24" customHeight="1">
      <c r="A2" s="5"/>
      <c r="B2" s="5"/>
      <c r="C2" s="5"/>
      <c r="D2" s="53" t="s">
        <v>26</v>
      </c>
      <c r="E2" s="35"/>
      <c r="F2" s="34"/>
      <c r="G2" s="21"/>
    </row>
    <row r="3" spans="1:8" ht="18.75" customHeight="1">
      <c r="A3" s="5"/>
      <c r="B3" s="5"/>
      <c r="C3" s="5"/>
      <c r="D3" s="20" t="s">
        <v>190</v>
      </c>
      <c r="E3" s="20"/>
      <c r="F3" s="21"/>
      <c r="G3" s="21"/>
    </row>
    <row r="4" spans="1:8" ht="26.25" customHeight="1">
      <c r="A4" s="122" t="s">
        <v>13</v>
      </c>
      <c r="B4" s="122"/>
      <c r="C4" s="123"/>
      <c r="D4" s="123"/>
      <c r="E4" s="123"/>
      <c r="F4" s="123"/>
      <c r="G4" s="17"/>
      <c r="H4" s="1"/>
    </row>
    <row r="5" spans="1:8" ht="12" customHeight="1">
      <c r="A5" s="16"/>
      <c r="B5" s="16"/>
      <c r="C5" s="17"/>
      <c r="D5" s="17"/>
      <c r="E5" s="17"/>
      <c r="F5" s="17"/>
      <c r="G5" s="17"/>
      <c r="H5" s="1"/>
    </row>
    <row r="6" spans="1:8" ht="15" customHeight="1" thickBot="1">
      <c r="A6" s="5"/>
      <c r="B6" s="5"/>
      <c r="C6" s="5"/>
      <c r="D6" s="6"/>
      <c r="E6" s="6"/>
      <c r="F6" s="4" t="s">
        <v>0</v>
      </c>
      <c r="G6" s="4"/>
    </row>
    <row r="7" spans="1:8" ht="45" customHeight="1">
      <c r="A7" s="126" t="s">
        <v>21</v>
      </c>
      <c r="B7" s="126" t="s">
        <v>28</v>
      </c>
      <c r="C7" s="124" t="s">
        <v>1</v>
      </c>
      <c r="D7" s="124" t="s">
        <v>14</v>
      </c>
      <c r="E7" s="124" t="s">
        <v>3</v>
      </c>
      <c r="F7" s="124" t="s">
        <v>15</v>
      </c>
      <c r="G7" s="31"/>
    </row>
    <row r="8" spans="1:8" ht="66" customHeight="1" thickBot="1">
      <c r="A8" s="127" t="s">
        <v>2</v>
      </c>
      <c r="B8" s="127"/>
      <c r="C8" s="125"/>
      <c r="D8" s="125"/>
      <c r="E8" s="125"/>
      <c r="F8" s="125"/>
      <c r="G8" s="31"/>
    </row>
    <row r="9" spans="1:8" ht="18.75" customHeight="1" thickBot="1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1"/>
    </row>
    <row r="10" spans="1:8" ht="27" customHeight="1" thickBot="1">
      <c r="A10" s="11"/>
      <c r="B10" s="79"/>
      <c r="C10" s="80" t="s">
        <v>33</v>
      </c>
      <c r="D10" s="42">
        <f>5445370650+44650500</f>
        <v>5490021150</v>
      </c>
      <c r="E10" s="50">
        <f>E11+E25+E40</f>
        <v>39860902</v>
      </c>
      <c r="F10" s="42">
        <f t="shared" ref="F10:F42" si="0">D10+E10</f>
        <v>5529882052</v>
      </c>
      <c r="G10" s="91"/>
    </row>
    <row r="11" spans="1:8" ht="25.5" customHeight="1">
      <c r="A11" s="87"/>
      <c r="B11" s="87">
        <v>10000000</v>
      </c>
      <c r="C11" s="94" t="s">
        <v>34</v>
      </c>
      <c r="D11" s="89">
        <v>2853708003</v>
      </c>
      <c r="E11" s="89">
        <f>+E12+E17+E21</f>
        <v>33689600</v>
      </c>
      <c r="F11" s="89">
        <f t="shared" si="0"/>
        <v>2887397603</v>
      </c>
      <c r="G11" s="31"/>
    </row>
    <row r="12" spans="1:8" ht="54" customHeight="1">
      <c r="A12" s="66"/>
      <c r="B12" s="66">
        <v>11000000</v>
      </c>
      <c r="C12" s="95" t="s">
        <v>35</v>
      </c>
      <c r="D12" s="44">
        <v>1699697503</v>
      </c>
      <c r="E12" s="44">
        <f>+E13+E15</f>
        <v>17981000</v>
      </c>
      <c r="F12" s="44">
        <f>D12+E12</f>
        <v>1717678503</v>
      </c>
      <c r="G12" s="31"/>
    </row>
    <row r="13" spans="1:8" ht="33.75" customHeight="1">
      <c r="A13" s="86"/>
      <c r="B13" s="66">
        <v>11010000</v>
      </c>
      <c r="C13" s="95" t="s">
        <v>36</v>
      </c>
      <c r="D13" s="44">
        <v>1698797503</v>
      </c>
      <c r="E13" s="44">
        <f>E14</f>
        <v>14400000</v>
      </c>
      <c r="F13" s="44">
        <f>D13+E13</f>
        <v>1713197503</v>
      </c>
      <c r="G13" s="31"/>
    </row>
    <row r="14" spans="1:8" ht="75.75" customHeight="1">
      <c r="A14" s="86"/>
      <c r="B14" s="86">
        <v>11010100</v>
      </c>
      <c r="C14" s="96" t="s">
        <v>37</v>
      </c>
      <c r="D14" s="56">
        <v>1591937503</v>
      </c>
      <c r="E14" s="56">
        <v>14400000</v>
      </c>
      <c r="F14" s="56">
        <f t="shared" si="0"/>
        <v>1606337503</v>
      </c>
      <c r="G14" s="31"/>
    </row>
    <row r="15" spans="1:8" ht="29.25" customHeight="1">
      <c r="A15" s="77"/>
      <c r="B15" s="66" t="s">
        <v>122</v>
      </c>
      <c r="C15" s="95" t="s">
        <v>123</v>
      </c>
      <c r="D15" s="44">
        <f>+D16</f>
        <v>900000</v>
      </c>
      <c r="E15" s="44">
        <f>+E16</f>
        <v>3581000</v>
      </c>
      <c r="F15" s="44">
        <f t="shared" si="0"/>
        <v>4481000</v>
      </c>
      <c r="G15" s="31"/>
    </row>
    <row r="16" spans="1:8" ht="58.5" customHeight="1">
      <c r="A16" s="77"/>
      <c r="B16" s="86" t="s">
        <v>124</v>
      </c>
      <c r="C16" s="96" t="s">
        <v>125</v>
      </c>
      <c r="D16" s="56">
        <v>900000</v>
      </c>
      <c r="E16" s="56">
        <f>3581000</f>
        <v>3581000</v>
      </c>
      <c r="F16" s="56">
        <f t="shared" si="0"/>
        <v>4481000</v>
      </c>
      <c r="G16" s="31"/>
    </row>
    <row r="17" spans="1:7" ht="41.25" customHeight="1">
      <c r="A17" s="77"/>
      <c r="B17" s="66">
        <v>14000000</v>
      </c>
      <c r="C17" s="95" t="s">
        <v>126</v>
      </c>
      <c r="D17" s="44">
        <v>210000000</v>
      </c>
      <c r="E17" s="44">
        <f>+E18+E20</f>
        <v>13208600</v>
      </c>
      <c r="F17" s="44">
        <f t="shared" si="0"/>
        <v>223208600</v>
      </c>
      <c r="G17" s="31"/>
    </row>
    <row r="18" spans="1:7" ht="56.25" customHeight="1">
      <c r="A18" s="77"/>
      <c r="B18" s="86">
        <v>14020000</v>
      </c>
      <c r="C18" s="96" t="s">
        <v>127</v>
      </c>
      <c r="D18" s="56">
        <f>+D19</f>
        <v>17000000</v>
      </c>
      <c r="E18" s="56">
        <f>+E19</f>
        <v>8908600</v>
      </c>
      <c r="F18" s="56">
        <f t="shared" si="0"/>
        <v>25908600</v>
      </c>
      <c r="G18" s="31"/>
    </row>
    <row r="19" spans="1:7" ht="20.25" customHeight="1">
      <c r="A19" s="77"/>
      <c r="B19" s="86">
        <v>14021900</v>
      </c>
      <c r="C19" s="96" t="s">
        <v>128</v>
      </c>
      <c r="D19" s="56">
        <v>17000000</v>
      </c>
      <c r="E19" s="56">
        <f>9900000-1032400+1000+40000</f>
        <v>8908600</v>
      </c>
      <c r="F19" s="56">
        <f t="shared" si="0"/>
        <v>25908600</v>
      </c>
      <c r="G19" s="31"/>
    </row>
    <row r="20" spans="1:7" ht="71.25" customHeight="1">
      <c r="A20" s="77"/>
      <c r="B20" s="86" t="s">
        <v>155</v>
      </c>
      <c r="C20" s="96" t="s">
        <v>156</v>
      </c>
      <c r="D20" s="56">
        <v>125000000</v>
      </c>
      <c r="E20" s="56">
        <f>4300000</f>
        <v>4300000</v>
      </c>
      <c r="F20" s="56">
        <f t="shared" si="0"/>
        <v>129300000</v>
      </c>
      <c r="G20" s="31"/>
    </row>
    <row r="21" spans="1:7" ht="27" customHeight="1">
      <c r="A21" s="77"/>
      <c r="B21" s="66">
        <v>18000000</v>
      </c>
      <c r="C21" s="95" t="s">
        <v>129</v>
      </c>
      <c r="D21" s="44">
        <v>943992500</v>
      </c>
      <c r="E21" s="44">
        <f>+E22</f>
        <v>2500000</v>
      </c>
      <c r="F21" s="44">
        <f>+D21+E21</f>
        <v>946492500</v>
      </c>
      <c r="G21" s="31"/>
    </row>
    <row r="22" spans="1:7" ht="25.5" customHeight="1">
      <c r="A22" s="77"/>
      <c r="B22" s="86">
        <v>18050000</v>
      </c>
      <c r="C22" s="96" t="s">
        <v>130</v>
      </c>
      <c r="D22" s="56">
        <f>+D23+D24</f>
        <v>33390600</v>
      </c>
      <c r="E22" s="56">
        <f>+E24+E23</f>
        <v>2500000</v>
      </c>
      <c r="F22" s="56">
        <f>+E22+D22</f>
        <v>35890600</v>
      </c>
      <c r="G22" s="31"/>
    </row>
    <row r="23" spans="1:7" ht="31.5" customHeight="1">
      <c r="A23" s="77"/>
      <c r="B23" s="86">
        <v>18050300</v>
      </c>
      <c r="C23" s="96" t="s">
        <v>131</v>
      </c>
      <c r="D23" s="56">
        <v>9340100</v>
      </c>
      <c r="E23" s="56">
        <v>70000</v>
      </c>
      <c r="F23" s="56">
        <f>D23+E23</f>
        <v>9410100</v>
      </c>
      <c r="G23" s="31"/>
    </row>
    <row r="24" spans="1:7" ht="29.25" customHeight="1">
      <c r="A24" s="87"/>
      <c r="B24" s="86">
        <v>18050400</v>
      </c>
      <c r="C24" s="96" t="s">
        <v>132</v>
      </c>
      <c r="D24" s="56">
        <v>24050500</v>
      </c>
      <c r="E24" s="56">
        <v>2430000</v>
      </c>
      <c r="F24" s="56">
        <f>+D24+E24</f>
        <v>26480500</v>
      </c>
      <c r="G24" s="31"/>
    </row>
    <row r="25" spans="1:7" ht="31.5" customHeight="1">
      <c r="A25" s="87"/>
      <c r="B25" s="87" t="s">
        <v>133</v>
      </c>
      <c r="C25" s="94" t="s">
        <v>134</v>
      </c>
      <c r="D25" s="89">
        <v>48612099</v>
      </c>
      <c r="E25" s="89">
        <f>E26+E33+E36</f>
        <v>6106000</v>
      </c>
      <c r="F25" s="89">
        <f>+E25+D25</f>
        <v>54718099</v>
      </c>
      <c r="G25" s="31"/>
    </row>
    <row r="26" spans="1:7" ht="39.75" customHeight="1">
      <c r="A26" s="108"/>
      <c r="B26" s="109" t="s">
        <v>135</v>
      </c>
      <c r="C26" s="95" t="s">
        <v>136</v>
      </c>
      <c r="D26" s="110">
        <v>10297000</v>
      </c>
      <c r="E26" s="110">
        <f>E27+E29+E30</f>
        <v>4471000</v>
      </c>
      <c r="F26" s="99">
        <f>D26+E26</f>
        <v>14768000</v>
      </c>
      <c r="G26" s="31"/>
    </row>
    <row r="27" spans="1:7" ht="173.25" customHeight="1">
      <c r="A27" s="87"/>
      <c r="B27" s="116" t="s">
        <v>157</v>
      </c>
      <c r="C27" s="95" t="s">
        <v>158</v>
      </c>
      <c r="D27" s="44">
        <v>107000</v>
      </c>
      <c r="E27" s="44">
        <f>E28</f>
        <v>414000</v>
      </c>
      <c r="F27" s="99">
        <f t="shared" ref="F27:F28" si="1">D27+E27</f>
        <v>521000</v>
      </c>
      <c r="G27" s="31"/>
    </row>
    <row r="28" spans="1:7" ht="84.75" customHeight="1">
      <c r="A28" s="87"/>
      <c r="B28" s="107" t="s">
        <v>159</v>
      </c>
      <c r="C28" s="96" t="s">
        <v>160</v>
      </c>
      <c r="D28" s="56">
        <v>107000</v>
      </c>
      <c r="E28" s="56">
        <v>414000</v>
      </c>
      <c r="F28" s="78">
        <f t="shared" si="1"/>
        <v>521000</v>
      </c>
      <c r="G28" s="31"/>
    </row>
    <row r="29" spans="1:7" ht="39" customHeight="1">
      <c r="A29" s="112"/>
      <c r="B29" s="66" t="s">
        <v>137</v>
      </c>
      <c r="C29" s="117" t="s">
        <v>138</v>
      </c>
      <c r="D29" s="44">
        <v>10000000</v>
      </c>
      <c r="E29" s="44">
        <v>3900000</v>
      </c>
      <c r="F29" s="99">
        <f>D29+E29</f>
        <v>13900000</v>
      </c>
      <c r="G29" s="31"/>
    </row>
    <row r="30" spans="1:7" ht="33.75" customHeight="1">
      <c r="A30" s="113"/>
      <c r="B30" s="74" t="s">
        <v>161</v>
      </c>
      <c r="C30" s="118" t="s">
        <v>162</v>
      </c>
      <c r="D30" s="99">
        <v>190000</v>
      </c>
      <c r="E30" s="99">
        <f>SUM(E31:E32)</f>
        <v>157000</v>
      </c>
      <c r="F30" s="99">
        <f>D30+E30</f>
        <v>347000</v>
      </c>
      <c r="G30" s="31"/>
    </row>
    <row r="31" spans="1:7" ht="39" customHeight="1">
      <c r="A31" s="113"/>
      <c r="B31" s="77" t="s">
        <v>163</v>
      </c>
      <c r="C31" s="111" t="s">
        <v>165</v>
      </c>
      <c r="D31" s="78">
        <v>50000</v>
      </c>
      <c r="E31" s="78">
        <f>45000</f>
        <v>45000</v>
      </c>
      <c r="F31" s="99">
        <f t="shared" ref="F31:F39" si="2">D31+E31</f>
        <v>95000</v>
      </c>
      <c r="G31" s="31"/>
    </row>
    <row r="32" spans="1:7" ht="91.5" customHeight="1">
      <c r="A32" s="113"/>
      <c r="B32" s="77" t="s">
        <v>164</v>
      </c>
      <c r="C32" s="111" t="s">
        <v>166</v>
      </c>
      <c r="D32" s="78">
        <v>0</v>
      </c>
      <c r="E32" s="78">
        <f>112000</f>
        <v>112000</v>
      </c>
      <c r="F32" s="99">
        <f t="shared" si="2"/>
        <v>112000</v>
      </c>
      <c r="G32" s="31"/>
    </row>
    <row r="33" spans="1:7" ht="57" customHeight="1">
      <c r="A33" s="113"/>
      <c r="B33" s="74" t="s">
        <v>167</v>
      </c>
      <c r="C33" s="118" t="s">
        <v>170</v>
      </c>
      <c r="D33" s="99">
        <v>36600000</v>
      </c>
      <c r="E33" s="99">
        <f>E34</f>
        <v>1135000</v>
      </c>
      <c r="F33" s="99">
        <f t="shared" si="2"/>
        <v>37735000</v>
      </c>
      <c r="G33" s="31"/>
    </row>
    <row r="34" spans="1:7" ht="39" customHeight="1">
      <c r="A34" s="113"/>
      <c r="B34" s="77" t="s">
        <v>168</v>
      </c>
      <c r="C34" s="111" t="s">
        <v>171</v>
      </c>
      <c r="D34" s="78">
        <v>15600000</v>
      </c>
      <c r="E34" s="78">
        <f>E35</f>
        <v>1135000</v>
      </c>
      <c r="F34" s="99">
        <f t="shared" si="2"/>
        <v>16735000</v>
      </c>
      <c r="G34" s="31"/>
    </row>
    <row r="35" spans="1:7" ht="39" customHeight="1">
      <c r="A35" s="113"/>
      <c r="B35" s="77" t="s">
        <v>169</v>
      </c>
      <c r="C35" s="111" t="s">
        <v>172</v>
      </c>
      <c r="D35" s="78">
        <v>11910000</v>
      </c>
      <c r="E35" s="78">
        <f>1135000</f>
        <v>1135000</v>
      </c>
      <c r="F35" s="99">
        <f t="shared" si="2"/>
        <v>13045000</v>
      </c>
      <c r="G35" s="31"/>
    </row>
    <row r="36" spans="1:7" ht="39" customHeight="1">
      <c r="A36" s="113"/>
      <c r="B36" s="74" t="s">
        <v>173</v>
      </c>
      <c r="C36" s="118" t="s">
        <v>176</v>
      </c>
      <c r="D36" s="99">
        <f>D37</f>
        <v>1715099</v>
      </c>
      <c r="E36" s="99">
        <f>E37</f>
        <v>500000</v>
      </c>
      <c r="F36" s="99">
        <f t="shared" si="2"/>
        <v>2215099</v>
      </c>
      <c r="G36" s="31"/>
    </row>
    <row r="37" spans="1:7" ht="33" customHeight="1">
      <c r="A37" s="113"/>
      <c r="B37" s="77" t="s">
        <v>174</v>
      </c>
      <c r="C37" s="111" t="s">
        <v>177</v>
      </c>
      <c r="D37" s="78">
        <f>D38</f>
        <v>1715099</v>
      </c>
      <c r="E37" s="78">
        <f>E38</f>
        <v>500000</v>
      </c>
      <c r="F37" s="99">
        <f t="shared" si="2"/>
        <v>2215099</v>
      </c>
      <c r="G37" s="31"/>
    </row>
    <row r="38" spans="1:7" ht="33.75" customHeight="1">
      <c r="A38" s="113"/>
      <c r="B38" s="77" t="s">
        <v>175</v>
      </c>
      <c r="C38" s="111" t="s">
        <v>177</v>
      </c>
      <c r="D38" s="78">
        <v>1715099</v>
      </c>
      <c r="E38" s="78">
        <f>500000</f>
        <v>500000</v>
      </c>
      <c r="F38" s="99">
        <f t="shared" si="2"/>
        <v>2215099</v>
      </c>
      <c r="G38" s="31"/>
    </row>
    <row r="39" spans="1:7" ht="30.75" customHeight="1">
      <c r="A39" s="66"/>
      <c r="B39" s="87" t="s">
        <v>179</v>
      </c>
      <c r="C39" s="94" t="s">
        <v>178</v>
      </c>
      <c r="D39" s="89">
        <f>D40</f>
        <v>12000</v>
      </c>
      <c r="E39" s="89">
        <f>E40</f>
        <v>65302</v>
      </c>
      <c r="F39" s="89">
        <f t="shared" si="2"/>
        <v>77302</v>
      </c>
      <c r="G39" s="31"/>
    </row>
    <row r="40" spans="1:7" ht="44.25" customHeight="1">
      <c r="A40" s="66"/>
      <c r="B40" s="74">
        <v>31000000</v>
      </c>
      <c r="C40" s="119" t="s">
        <v>108</v>
      </c>
      <c r="D40" s="99">
        <v>12000</v>
      </c>
      <c r="E40" s="99">
        <f>E41</f>
        <v>65302</v>
      </c>
      <c r="F40" s="99">
        <f t="shared" si="0"/>
        <v>77302</v>
      </c>
      <c r="G40" s="31"/>
    </row>
    <row r="41" spans="1:7" ht="135" customHeight="1">
      <c r="A41" s="86"/>
      <c r="B41" s="86">
        <v>31010000</v>
      </c>
      <c r="C41" s="97" t="s">
        <v>109</v>
      </c>
      <c r="D41" s="56">
        <v>12000</v>
      </c>
      <c r="E41" s="56">
        <f>E42</f>
        <v>65302</v>
      </c>
      <c r="F41" s="78">
        <f t="shared" si="0"/>
        <v>77302</v>
      </c>
      <c r="G41" s="31"/>
    </row>
    <row r="42" spans="1:7" ht="119.25" customHeight="1" thickBot="1">
      <c r="A42" s="86"/>
      <c r="B42" s="86">
        <v>31010200</v>
      </c>
      <c r="C42" s="97" t="s">
        <v>139</v>
      </c>
      <c r="D42" s="56">
        <v>12000</v>
      </c>
      <c r="E42" s="56">
        <f>65302</f>
        <v>65302</v>
      </c>
      <c r="F42" s="78">
        <f t="shared" si="0"/>
        <v>77302</v>
      </c>
      <c r="G42" s="31"/>
    </row>
    <row r="43" spans="1:7" ht="29.25" customHeight="1" thickBot="1">
      <c r="A43" s="11"/>
      <c r="B43" s="79"/>
      <c r="C43" s="80" t="s">
        <v>54</v>
      </c>
      <c r="D43" s="42">
        <f>185784730</f>
        <v>185784730</v>
      </c>
      <c r="E43" s="50">
        <f>E44+E48</f>
        <v>170000</v>
      </c>
      <c r="F43" s="42">
        <f t="shared" ref="F43:F49" si="3">D43+E43</f>
        <v>185954730</v>
      </c>
      <c r="G43" s="31"/>
    </row>
    <row r="44" spans="1:7" ht="29.25" customHeight="1">
      <c r="A44" s="87"/>
      <c r="B44" s="87">
        <v>10000000</v>
      </c>
      <c r="C44" s="88" t="s">
        <v>34</v>
      </c>
      <c r="D44" s="89">
        <v>45200000</v>
      </c>
      <c r="E44" s="89">
        <f>E45</f>
        <v>70000</v>
      </c>
      <c r="F44" s="89">
        <f>D44+E44</f>
        <v>45270000</v>
      </c>
      <c r="G44" s="31"/>
    </row>
    <row r="45" spans="1:7" ht="22.5" customHeight="1">
      <c r="A45" s="84"/>
      <c r="B45" s="66">
        <v>19000000</v>
      </c>
      <c r="C45" s="48" t="s">
        <v>104</v>
      </c>
      <c r="D45" s="44">
        <v>4520000</v>
      </c>
      <c r="E45" s="44">
        <f>E46</f>
        <v>70000</v>
      </c>
      <c r="F45" s="44">
        <f t="shared" si="3"/>
        <v>4590000</v>
      </c>
      <c r="G45" s="31"/>
    </row>
    <row r="46" spans="1:7" ht="27.75" customHeight="1">
      <c r="A46" s="85"/>
      <c r="B46" s="66">
        <v>19010000</v>
      </c>
      <c r="C46" s="48" t="s">
        <v>105</v>
      </c>
      <c r="D46" s="44">
        <v>45200000</v>
      </c>
      <c r="E46" s="44">
        <f>SUM(E47:E47)</f>
        <v>70000</v>
      </c>
      <c r="F46" s="44">
        <f t="shared" si="3"/>
        <v>45270000</v>
      </c>
      <c r="G46" s="31"/>
    </row>
    <row r="47" spans="1:7" ht="66.75" customHeight="1">
      <c r="A47" s="90"/>
      <c r="B47" s="86">
        <v>19010100</v>
      </c>
      <c r="C47" s="47" t="s">
        <v>106</v>
      </c>
      <c r="D47" s="56">
        <v>21800000</v>
      </c>
      <c r="E47" s="56">
        <f>70000</f>
        <v>70000</v>
      </c>
      <c r="F47" s="56">
        <f t="shared" si="3"/>
        <v>21870000</v>
      </c>
      <c r="G47" s="31"/>
    </row>
    <row r="48" spans="1:7" ht="33.75" customHeight="1">
      <c r="A48" s="85"/>
      <c r="B48" s="87" t="s">
        <v>180</v>
      </c>
      <c r="C48" s="88" t="s">
        <v>181</v>
      </c>
      <c r="D48" s="89">
        <f>D49</f>
        <v>2240000</v>
      </c>
      <c r="E48" s="89">
        <f>E49</f>
        <v>100000</v>
      </c>
      <c r="F48" s="120">
        <f t="shared" si="3"/>
        <v>2340000</v>
      </c>
      <c r="G48" s="31"/>
    </row>
    <row r="49" spans="1:9" ht="84.75" customHeight="1" thickBot="1">
      <c r="A49" s="90"/>
      <c r="B49" s="86" t="s">
        <v>183</v>
      </c>
      <c r="C49" s="47" t="s">
        <v>182</v>
      </c>
      <c r="D49" s="56">
        <v>2240000</v>
      </c>
      <c r="E49" s="56">
        <f>100000</f>
        <v>100000</v>
      </c>
      <c r="F49" s="56">
        <f t="shared" si="3"/>
        <v>2340000</v>
      </c>
      <c r="G49" s="31"/>
    </row>
    <row r="50" spans="1:9" ht="45.75" customHeight="1" thickBot="1">
      <c r="A50" s="11"/>
      <c r="B50" s="11"/>
      <c r="C50" s="36" t="s">
        <v>55</v>
      </c>
      <c r="D50" s="42">
        <f>D10+D43</f>
        <v>5675805880</v>
      </c>
      <c r="E50" s="42">
        <f>E10+E43</f>
        <v>40030902</v>
      </c>
      <c r="F50" s="42">
        <f t="shared" ref="F50" si="4">D50+E50</f>
        <v>5715836782</v>
      </c>
      <c r="G50" s="31"/>
    </row>
    <row r="51" spans="1:9" ht="46.5" customHeight="1" thickBot="1">
      <c r="A51" s="11"/>
      <c r="B51" s="62"/>
      <c r="C51" s="36" t="s">
        <v>8</v>
      </c>
      <c r="D51" s="50">
        <f>349433+5208205170.48-801893+44650500</f>
        <v>5252403210.4799995</v>
      </c>
      <c r="E51" s="42">
        <f>E52+E63+E66+E75+E78+E82+E85</f>
        <v>31692489</v>
      </c>
      <c r="F51" s="50">
        <f t="shared" ref="F51:F53" si="5">D51+E51</f>
        <v>5284095699.4799995</v>
      </c>
      <c r="G51" s="55"/>
      <c r="H51" s="2"/>
    </row>
    <row r="52" spans="1:9" ht="36.75" customHeight="1">
      <c r="A52" s="69" t="s">
        <v>19</v>
      </c>
      <c r="B52" s="49"/>
      <c r="C52" s="49" t="s">
        <v>18</v>
      </c>
      <c r="D52" s="29">
        <f>D53</f>
        <v>1674944966</v>
      </c>
      <c r="E52" s="29">
        <f>E53</f>
        <v>496811</v>
      </c>
      <c r="F52" s="29">
        <f t="shared" si="5"/>
        <v>1675441777</v>
      </c>
      <c r="G52" s="7"/>
      <c r="H52" s="2"/>
    </row>
    <row r="53" spans="1:9" ht="36" customHeight="1">
      <c r="A53" s="69" t="s">
        <v>20</v>
      </c>
      <c r="B53" s="49"/>
      <c r="C53" s="49" t="s">
        <v>18</v>
      </c>
      <c r="D53" s="29">
        <f>1674740043+204923</f>
        <v>1674944966</v>
      </c>
      <c r="E53" s="29">
        <f>E54+E55+E58+E61</f>
        <v>496811</v>
      </c>
      <c r="F53" s="29">
        <f t="shared" si="5"/>
        <v>1675441777</v>
      </c>
      <c r="G53" s="72"/>
      <c r="H53" s="2"/>
    </row>
    <row r="54" spans="1:9" ht="102" customHeight="1">
      <c r="A54" s="66" t="s">
        <v>25</v>
      </c>
      <c r="B54" s="66">
        <v>1020</v>
      </c>
      <c r="C54" s="48" t="s">
        <v>23</v>
      </c>
      <c r="D54" s="44">
        <f>857513630+76618</f>
        <v>857590248</v>
      </c>
      <c r="E54" s="44">
        <f>396860</f>
        <v>396860</v>
      </c>
      <c r="F54" s="44">
        <f t="shared" ref="F54:F64" si="6">D54+E54</f>
        <v>857987108</v>
      </c>
      <c r="G54" s="7"/>
      <c r="H54" s="7"/>
      <c r="I54" s="7"/>
    </row>
    <row r="55" spans="1:9" ht="37.5" customHeight="1">
      <c r="A55" s="66" t="s">
        <v>62</v>
      </c>
      <c r="B55" s="66" t="s">
        <v>63</v>
      </c>
      <c r="C55" s="48" t="s">
        <v>61</v>
      </c>
      <c r="D55" s="44">
        <f>3395111</f>
        <v>3395111</v>
      </c>
      <c r="E55" s="44">
        <f>168155</f>
        <v>168155</v>
      </c>
      <c r="F55" s="44">
        <f t="shared" ref="F55" si="7">D55+E55</f>
        <v>3563266</v>
      </c>
      <c r="G55" s="55"/>
      <c r="H55" s="2"/>
    </row>
    <row r="56" spans="1:9" ht="19.5" customHeight="1">
      <c r="A56" s="83"/>
      <c r="B56" s="77"/>
      <c r="C56" s="47" t="s">
        <v>56</v>
      </c>
      <c r="D56" s="56">
        <v>2515397</v>
      </c>
      <c r="E56" s="56">
        <f>112000</f>
        <v>112000</v>
      </c>
      <c r="F56" s="56">
        <f>D56+E56</f>
        <v>2627397</v>
      </c>
      <c r="G56" s="55"/>
      <c r="H56" s="2"/>
    </row>
    <row r="57" spans="1:9" ht="20.25" customHeight="1">
      <c r="A57" s="83"/>
      <c r="B57" s="77"/>
      <c r="C57" s="47" t="s">
        <v>57</v>
      </c>
      <c r="D57" s="56">
        <v>254681</v>
      </c>
      <c r="E57" s="56">
        <f>30815</f>
        <v>30815</v>
      </c>
      <c r="F57" s="56">
        <f>D57+E57</f>
        <v>285496</v>
      </c>
      <c r="G57" s="55"/>
      <c r="H57" s="2"/>
    </row>
    <row r="58" spans="1:9" ht="29.25" customHeight="1">
      <c r="A58" s="66" t="s">
        <v>65</v>
      </c>
      <c r="B58" s="66" t="s">
        <v>64</v>
      </c>
      <c r="C58" s="48" t="s">
        <v>66</v>
      </c>
      <c r="D58" s="44">
        <f>2966763</f>
        <v>2966763</v>
      </c>
      <c r="E58" s="44">
        <f>-168155</f>
        <v>-168155</v>
      </c>
      <c r="F58" s="44">
        <f t="shared" si="6"/>
        <v>2798608</v>
      </c>
      <c r="G58" s="7"/>
      <c r="H58" s="7"/>
    </row>
    <row r="59" spans="1:9" ht="18.75" customHeight="1">
      <c r="A59" s="83"/>
      <c r="B59" s="77"/>
      <c r="C59" s="47" t="s">
        <v>56</v>
      </c>
      <c r="D59" s="56">
        <v>2127801</v>
      </c>
      <c r="E59" s="56">
        <f>-112000</f>
        <v>-112000</v>
      </c>
      <c r="F59" s="56">
        <f>D59+E59</f>
        <v>2015801</v>
      </c>
      <c r="G59" s="7"/>
      <c r="H59" s="7"/>
    </row>
    <row r="60" spans="1:9" ht="22.5" customHeight="1">
      <c r="A60" s="83"/>
      <c r="B60" s="77"/>
      <c r="C60" s="47" t="s">
        <v>57</v>
      </c>
      <c r="D60" s="56">
        <v>314289</v>
      </c>
      <c r="E60" s="56">
        <v>-30815</v>
      </c>
      <c r="F60" s="56">
        <f>D60+E60</f>
        <v>283474</v>
      </c>
      <c r="G60" s="7"/>
      <c r="H60" s="7"/>
    </row>
    <row r="61" spans="1:9" ht="36.75" customHeight="1">
      <c r="A61" s="66">
        <v>1015030</v>
      </c>
      <c r="B61" s="66" t="s">
        <v>152</v>
      </c>
      <c r="C61" s="48" t="s">
        <v>150</v>
      </c>
      <c r="D61" s="99">
        <f>41200100+6000</f>
        <v>41206100</v>
      </c>
      <c r="E61" s="99">
        <f>E62</f>
        <v>99951</v>
      </c>
      <c r="F61" s="44">
        <f t="shared" si="6"/>
        <v>41306051</v>
      </c>
      <c r="G61" s="7"/>
      <c r="H61" s="7"/>
    </row>
    <row r="62" spans="1:9" ht="52.5" customHeight="1">
      <c r="A62" s="86">
        <v>1015031</v>
      </c>
      <c r="B62" s="86" t="s">
        <v>153</v>
      </c>
      <c r="C62" s="47" t="s">
        <v>151</v>
      </c>
      <c r="D62" s="78">
        <f>41200100+6000</f>
        <v>41206100</v>
      </c>
      <c r="E62" s="78">
        <v>99951</v>
      </c>
      <c r="F62" s="56">
        <f>D62+E62</f>
        <v>41306051</v>
      </c>
      <c r="G62" s="7"/>
      <c r="H62" s="7"/>
    </row>
    <row r="63" spans="1:9" ht="54.75" customHeight="1">
      <c r="A63" s="69" t="s">
        <v>45</v>
      </c>
      <c r="B63" s="49"/>
      <c r="C63" s="49" t="s">
        <v>47</v>
      </c>
      <c r="D63" s="29">
        <f>D64</f>
        <v>1074644</v>
      </c>
      <c r="E63" s="29">
        <f>E64</f>
        <v>180000</v>
      </c>
      <c r="F63" s="29">
        <f t="shared" si="6"/>
        <v>1254644</v>
      </c>
      <c r="G63" s="55"/>
      <c r="H63" s="2"/>
    </row>
    <row r="64" spans="1:9" ht="57.75" customHeight="1">
      <c r="A64" s="69" t="s">
        <v>46</v>
      </c>
      <c r="B64" s="49"/>
      <c r="C64" s="49" t="s">
        <v>47</v>
      </c>
      <c r="D64" s="29">
        <v>1074644</v>
      </c>
      <c r="E64" s="29">
        <f>E65</f>
        <v>180000</v>
      </c>
      <c r="F64" s="29">
        <f t="shared" si="6"/>
        <v>1254644</v>
      </c>
      <c r="G64" s="55"/>
      <c r="H64" s="2"/>
    </row>
    <row r="65" spans="1:9" ht="33.75" customHeight="1">
      <c r="A65" s="66" t="s">
        <v>48</v>
      </c>
      <c r="B65" s="66" t="s">
        <v>39</v>
      </c>
      <c r="C65" s="48" t="s">
        <v>40</v>
      </c>
      <c r="D65" s="44">
        <v>1074644</v>
      </c>
      <c r="E65" s="44">
        <f>180000</f>
        <v>180000</v>
      </c>
      <c r="F65" s="44">
        <f>D65+E65</f>
        <v>1254644</v>
      </c>
      <c r="G65" s="55"/>
      <c r="H65" s="2"/>
    </row>
    <row r="66" spans="1:9" ht="55.5" customHeight="1">
      <c r="A66" s="69">
        <v>4000000</v>
      </c>
      <c r="B66" s="49"/>
      <c r="C66" s="49" t="s">
        <v>7</v>
      </c>
      <c r="D66" s="29">
        <f>D67</f>
        <v>566375451</v>
      </c>
      <c r="E66" s="29">
        <f>E67</f>
        <v>27422350</v>
      </c>
      <c r="F66" s="29">
        <f t="shared" ref="F66:F104" si="8">D66+E66</f>
        <v>593797801</v>
      </c>
      <c r="G66" s="55"/>
      <c r="H66" s="2"/>
    </row>
    <row r="67" spans="1:9" ht="55.5" customHeight="1">
      <c r="A67" s="69">
        <v>4010000</v>
      </c>
      <c r="B67" s="49"/>
      <c r="C67" s="49" t="s">
        <v>7</v>
      </c>
      <c r="D67" s="29">
        <f>566290451+85000</f>
        <v>566375451</v>
      </c>
      <c r="E67" s="29">
        <f>E68+E69+E71+E72+E73+E74</f>
        <v>27422350</v>
      </c>
      <c r="F67" s="29">
        <f t="shared" si="8"/>
        <v>593797801</v>
      </c>
      <c r="G67" s="7"/>
      <c r="H67" s="2"/>
      <c r="I67" s="73"/>
    </row>
    <row r="68" spans="1:9" ht="53.25" customHeight="1">
      <c r="A68" s="66" t="s">
        <v>81</v>
      </c>
      <c r="B68" s="66" t="s">
        <v>82</v>
      </c>
      <c r="C68" s="48" t="s">
        <v>83</v>
      </c>
      <c r="D68" s="44">
        <f>1509514</f>
        <v>1509514</v>
      </c>
      <c r="E68" s="44">
        <f>570000</f>
        <v>570000</v>
      </c>
      <c r="F68" s="44">
        <f t="shared" ref="F68" si="9">D68+E68</f>
        <v>2079514</v>
      </c>
      <c r="G68" s="7"/>
      <c r="H68" s="2"/>
      <c r="I68" s="73"/>
    </row>
    <row r="69" spans="1:9" ht="24.75" customHeight="1">
      <c r="A69" s="66" t="s">
        <v>84</v>
      </c>
      <c r="B69" s="66" t="s">
        <v>85</v>
      </c>
      <c r="C69" s="48" t="s">
        <v>86</v>
      </c>
      <c r="D69" s="44">
        <f>79128228+7000</f>
        <v>79135228</v>
      </c>
      <c r="E69" s="44">
        <f>2687.2</f>
        <v>2687.2</v>
      </c>
      <c r="F69" s="44">
        <f t="shared" si="8"/>
        <v>79137915.200000003</v>
      </c>
      <c r="G69" s="55"/>
      <c r="H69" s="2"/>
    </row>
    <row r="70" spans="1:9" ht="33.75" customHeight="1">
      <c r="A70" s="83"/>
      <c r="B70" s="77"/>
      <c r="C70" s="47" t="s">
        <v>87</v>
      </c>
      <c r="D70" s="56">
        <f>28816515</f>
        <v>28816515</v>
      </c>
      <c r="E70" s="56">
        <f>1211203.32</f>
        <v>1211203.32</v>
      </c>
      <c r="F70" s="56">
        <f>D70+E70</f>
        <v>30027718.32</v>
      </c>
      <c r="G70" s="55"/>
      <c r="H70" s="2"/>
    </row>
    <row r="71" spans="1:9" ht="85.5" customHeight="1">
      <c r="A71" s="75" t="s">
        <v>88</v>
      </c>
      <c r="B71" s="74" t="s">
        <v>89</v>
      </c>
      <c r="C71" s="48" t="s">
        <v>90</v>
      </c>
      <c r="D71" s="44">
        <f>4148622</f>
        <v>4148622</v>
      </c>
      <c r="E71" s="44">
        <f>3111000</f>
        <v>3111000</v>
      </c>
      <c r="F71" s="44">
        <f>D71+E71</f>
        <v>7259622</v>
      </c>
      <c r="G71" s="55"/>
      <c r="H71" s="2"/>
    </row>
    <row r="72" spans="1:9" ht="30.75" customHeight="1">
      <c r="A72" s="75" t="s">
        <v>110</v>
      </c>
      <c r="B72" s="74" t="s">
        <v>111</v>
      </c>
      <c r="C72" s="48" t="s">
        <v>113</v>
      </c>
      <c r="D72" s="44">
        <f>2588579+78000</f>
        <v>2666579</v>
      </c>
      <c r="E72" s="44">
        <v>20000000</v>
      </c>
      <c r="F72" s="44">
        <f t="shared" ref="F72:F73" si="10">D72+E72</f>
        <v>22666579</v>
      </c>
      <c r="G72" s="55"/>
      <c r="H72" s="2"/>
    </row>
    <row r="73" spans="1:9" ht="36" customHeight="1">
      <c r="A73" s="75" t="s">
        <v>112</v>
      </c>
      <c r="B73" s="74" t="s">
        <v>60</v>
      </c>
      <c r="C73" s="48" t="s">
        <v>42</v>
      </c>
      <c r="D73" s="44">
        <f>5398608</f>
        <v>5398608</v>
      </c>
      <c r="E73" s="44">
        <f>194000+3000000</f>
        <v>3194000</v>
      </c>
      <c r="F73" s="44">
        <f t="shared" si="10"/>
        <v>8592608</v>
      </c>
      <c r="G73" s="55"/>
      <c r="H73" s="2"/>
    </row>
    <row r="74" spans="1:9" ht="26.25" customHeight="1">
      <c r="A74" s="66" t="s">
        <v>91</v>
      </c>
      <c r="B74" s="66" t="s">
        <v>92</v>
      </c>
      <c r="C74" s="48" t="s">
        <v>41</v>
      </c>
      <c r="D74" s="44">
        <f>962200</f>
        <v>962200</v>
      </c>
      <c r="E74" s="44">
        <f>-2687.2+547350</f>
        <v>544662.80000000005</v>
      </c>
      <c r="F74" s="44">
        <f>D74+E74</f>
        <v>1506862.8</v>
      </c>
      <c r="G74" s="55"/>
      <c r="H74" s="2"/>
    </row>
    <row r="75" spans="1:9" ht="55.5" customHeight="1">
      <c r="A75" s="69" t="s">
        <v>98</v>
      </c>
      <c r="B75" s="49"/>
      <c r="C75" s="49" t="s">
        <v>97</v>
      </c>
      <c r="D75" s="29">
        <f>D76</f>
        <v>2528201</v>
      </c>
      <c r="E75" s="29">
        <f>E76</f>
        <v>75999.72</v>
      </c>
      <c r="F75" s="29">
        <f t="shared" ref="F75:F77" si="11">D75+E75</f>
        <v>2604200.7200000002</v>
      </c>
      <c r="G75" s="55"/>
      <c r="H75" s="2"/>
    </row>
    <row r="76" spans="1:9" ht="60" customHeight="1">
      <c r="A76" s="69" t="s">
        <v>99</v>
      </c>
      <c r="B76" s="49"/>
      <c r="C76" s="49" t="s">
        <v>97</v>
      </c>
      <c r="D76" s="29">
        <f>2528201</f>
        <v>2528201</v>
      </c>
      <c r="E76" s="29">
        <f>E77</f>
        <v>75999.72</v>
      </c>
      <c r="F76" s="29">
        <f t="shared" si="11"/>
        <v>2604200.7200000002</v>
      </c>
      <c r="G76" s="55"/>
      <c r="H76" s="2"/>
    </row>
    <row r="77" spans="1:9" ht="26.25" customHeight="1">
      <c r="A77" s="66" t="s">
        <v>100</v>
      </c>
      <c r="B77" s="66" t="s">
        <v>92</v>
      </c>
      <c r="C77" s="48" t="s">
        <v>41</v>
      </c>
      <c r="D77" s="44">
        <f>138100</f>
        <v>138100</v>
      </c>
      <c r="E77" s="44">
        <f>75999.72</f>
        <v>75999.72</v>
      </c>
      <c r="F77" s="44">
        <f t="shared" si="11"/>
        <v>214099.72</v>
      </c>
      <c r="G77" s="55"/>
      <c r="H77" s="2"/>
    </row>
    <row r="78" spans="1:9" ht="59.25" customHeight="1">
      <c r="A78" s="69" t="s">
        <v>101</v>
      </c>
      <c r="B78" s="49"/>
      <c r="C78" s="49" t="s">
        <v>12</v>
      </c>
      <c r="D78" s="29">
        <f>D79</f>
        <v>98000</v>
      </c>
      <c r="E78" s="29">
        <f>E79</f>
        <v>30136.28</v>
      </c>
      <c r="F78" s="29">
        <f t="shared" ref="F78:F81" si="12">D78+E78</f>
        <v>128136.28</v>
      </c>
      <c r="G78" s="55"/>
      <c r="H78" s="2"/>
    </row>
    <row r="79" spans="1:9" ht="53.25" customHeight="1">
      <c r="A79" s="69" t="s">
        <v>102</v>
      </c>
      <c r="B79" s="49"/>
      <c r="C79" s="49" t="s">
        <v>12</v>
      </c>
      <c r="D79" s="29">
        <f>98000</f>
        <v>98000</v>
      </c>
      <c r="E79" s="29">
        <f>SUM(E80:E81)</f>
        <v>30136.28</v>
      </c>
      <c r="F79" s="29">
        <f t="shared" si="12"/>
        <v>128136.28</v>
      </c>
      <c r="G79" s="55"/>
      <c r="H79" s="2"/>
    </row>
    <row r="80" spans="1:9" ht="36.75" customHeight="1">
      <c r="A80" s="66" t="s">
        <v>107</v>
      </c>
      <c r="B80" s="66" t="s">
        <v>60</v>
      </c>
      <c r="C80" s="48" t="s">
        <v>42</v>
      </c>
      <c r="D80" s="44">
        <v>98000</v>
      </c>
      <c r="E80" s="44">
        <f>9328</f>
        <v>9328</v>
      </c>
      <c r="F80" s="44">
        <f t="shared" ref="F80" si="13">D80+E80</f>
        <v>107328</v>
      </c>
      <c r="G80" s="55"/>
      <c r="H80" s="2"/>
    </row>
    <row r="81" spans="1:8" ht="26.25" customHeight="1">
      <c r="A81" s="66" t="s">
        <v>103</v>
      </c>
      <c r="B81" s="66" t="s">
        <v>92</v>
      </c>
      <c r="C81" s="48" t="s">
        <v>41</v>
      </c>
      <c r="D81" s="44">
        <v>0</v>
      </c>
      <c r="E81" s="44">
        <f>20808.28</f>
        <v>20808.28</v>
      </c>
      <c r="F81" s="44">
        <f t="shared" si="12"/>
        <v>20808.28</v>
      </c>
      <c r="G81" s="55"/>
      <c r="H81" s="2"/>
    </row>
    <row r="82" spans="1:8" ht="80.25" customHeight="1">
      <c r="A82" s="115">
        <v>6700000</v>
      </c>
      <c r="B82" s="49"/>
      <c r="C82" s="49" t="s">
        <v>68</v>
      </c>
      <c r="D82" s="29">
        <f>D83</f>
        <v>2896525</v>
      </c>
      <c r="E82" s="29">
        <f>E83</f>
        <v>164292</v>
      </c>
      <c r="F82" s="29">
        <f t="shared" ref="F82:F94" si="14">D82+E82</f>
        <v>3060817</v>
      </c>
      <c r="G82" s="7"/>
      <c r="H82" s="2"/>
    </row>
    <row r="83" spans="1:8" ht="79.5" customHeight="1">
      <c r="A83" s="115">
        <v>6710000</v>
      </c>
      <c r="B83" s="49"/>
      <c r="C83" s="49" t="s">
        <v>68</v>
      </c>
      <c r="D83" s="29">
        <v>2896525</v>
      </c>
      <c r="E83" s="29">
        <f>E84</f>
        <v>164292</v>
      </c>
      <c r="F83" s="29">
        <f t="shared" si="14"/>
        <v>3060817</v>
      </c>
      <c r="G83" s="7"/>
      <c r="H83" s="2"/>
    </row>
    <row r="84" spans="1:8" ht="27.75" customHeight="1">
      <c r="A84" s="75" t="s">
        <v>69</v>
      </c>
      <c r="B84" s="74" t="s">
        <v>70</v>
      </c>
      <c r="C84" s="48" t="s">
        <v>71</v>
      </c>
      <c r="D84" s="44">
        <v>2218125</v>
      </c>
      <c r="E84" s="44">
        <f>164292</f>
        <v>164292</v>
      </c>
      <c r="F84" s="44">
        <f t="shared" si="14"/>
        <v>2382417</v>
      </c>
      <c r="G84" s="7"/>
      <c r="H84" s="2"/>
    </row>
    <row r="85" spans="1:8" ht="33.75" customHeight="1">
      <c r="A85" s="115">
        <v>7610000</v>
      </c>
      <c r="B85" s="49"/>
      <c r="C85" s="49" t="s">
        <v>140</v>
      </c>
      <c r="D85" s="29">
        <f>1043936226-1698506</f>
        <v>1042237720</v>
      </c>
      <c r="E85" s="29">
        <f>E86</f>
        <v>3322900</v>
      </c>
      <c r="F85" s="29">
        <f t="shared" si="14"/>
        <v>1045560620</v>
      </c>
      <c r="G85" s="7"/>
      <c r="H85" s="2"/>
    </row>
    <row r="86" spans="1:8" ht="28.5" customHeight="1">
      <c r="A86" s="75">
        <v>7618700</v>
      </c>
      <c r="B86" s="74">
        <v>8700</v>
      </c>
      <c r="C86" s="101" t="s">
        <v>141</v>
      </c>
      <c r="D86" s="44">
        <v>75006275</v>
      </c>
      <c r="E86" s="44">
        <f>SUM(E88:E94)</f>
        <v>3322900</v>
      </c>
      <c r="F86" s="44">
        <f t="shared" si="14"/>
        <v>78329175</v>
      </c>
      <c r="G86" s="7"/>
      <c r="H86" s="2"/>
    </row>
    <row r="87" spans="1:8" ht="32.25" customHeight="1">
      <c r="A87" s="77"/>
      <c r="B87" s="102"/>
      <c r="C87" s="103" t="s">
        <v>142</v>
      </c>
      <c r="D87" s="56"/>
      <c r="E87" s="56"/>
      <c r="F87" s="56"/>
      <c r="G87" s="7"/>
      <c r="H87" s="2"/>
    </row>
    <row r="88" spans="1:8" ht="24" customHeight="1">
      <c r="A88" s="74"/>
      <c r="B88" s="100"/>
      <c r="C88" s="104" t="s">
        <v>143</v>
      </c>
      <c r="D88" s="56">
        <v>8709320</v>
      </c>
      <c r="E88" s="56">
        <f>199000+395300</f>
        <v>594300</v>
      </c>
      <c r="F88" s="56">
        <f t="shared" si="14"/>
        <v>9303620</v>
      </c>
      <c r="G88" s="7"/>
      <c r="H88" s="2"/>
    </row>
    <row r="89" spans="1:8" ht="22.5" customHeight="1">
      <c r="A89" s="74"/>
      <c r="B89" s="100"/>
      <c r="C89" s="104" t="s">
        <v>144</v>
      </c>
      <c r="D89" s="56">
        <v>11355320</v>
      </c>
      <c r="E89" s="56">
        <f>199000+229000</f>
        <v>428000</v>
      </c>
      <c r="F89" s="56">
        <f t="shared" si="14"/>
        <v>11783320</v>
      </c>
      <c r="G89" s="7"/>
      <c r="H89" s="2"/>
    </row>
    <row r="90" spans="1:8" ht="24" customHeight="1">
      <c r="A90" s="74"/>
      <c r="B90" s="100"/>
      <c r="C90" s="104" t="s">
        <v>145</v>
      </c>
      <c r="D90" s="56">
        <v>6968760</v>
      </c>
      <c r="E90" s="56">
        <f>199000+380100</f>
        <v>579100</v>
      </c>
      <c r="F90" s="56">
        <f t="shared" si="14"/>
        <v>7547860</v>
      </c>
      <c r="G90" s="7"/>
      <c r="H90" s="2"/>
    </row>
    <row r="91" spans="1:8" ht="24.75" customHeight="1">
      <c r="A91" s="74"/>
      <c r="B91" s="100"/>
      <c r="C91" s="98" t="s">
        <v>146</v>
      </c>
      <c r="D91" s="56">
        <v>14467050</v>
      </c>
      <c r="E91" s="56">
        <f>199000+251000+1000</f>
        <v>451000</v>
      </c>
      <c r="F91" s="105">
        <f>D91+E91</f>
        <v>14918050</v>
      </c>
      <c r="G91" s="7"/>
      <c r="H91" s="2"/>
    </row>
    <row r="92" spans="1:8" ht="25.5" customHeight="1">
      <c r="A92" s="74"/>
      <c r="B92" s="100"/>
      <c r="C92" s="104" t="s">
        <v>147</v>
      </c>
      <c r="D92" s="56">
        <v>10137165</v>
      </c>
      <c r="E92" s="56">
        <f>199000+283500</f>
        <v>482500</v>
      </c>
      <c r="F92" s="56">
        <f t="shared" si="14"/>
        <v>10619665</v>
      </c>
      <c r="G92" s="7"/>
      <c r="H92" s="2"/>
    </row>
    <row r="93" spans="1:8" ht="26.25" customHeight="1">
      <c r="A93" s="74"/>
      <c r="B93" s="100"/>
      <c r="C93" s="104" t="s">
        <v>148</v>
      </c>
      <c r="D93" s="56">
        <v>14768970</v>
      </c>
      <c r="E93" s="56">
        <f>199000+390000</f>
        <v>589000</v>
      </c>
      <c r="F93" s="56">
        <f t="shared" si="14"/>
        <v>15357970</v>
      </c>
      <c r="G93" s="7"/>
      <c r="H93" s="2"/>
    </row>
    <row r="94" spans="1:8" ht="27" customHeight="1" thickBot="1">
      <c r="A94" s="74"/>
      <c r="B94" s="100"/>
      <c r="C94" s="98" t="s">
        <v>149</v>
      </c>
      <c r="D94" s="56">
        <v>6599690</v>
      </c>
      <c r="E94" s="56">
        <f t="shared" ref="E94" si="15">199000</f>
        <v>199000</v>
      </c>
      <c r="F94" s="56">
        <f t="shared" si="14"/>
        <v>6798690</v>
      </c>
      <c r="G94" s="7"/>
      <c r="H94" s="2"/>
    </row>
    <row r="95" spans="1:8" ht="38.25" customHeight="1">
      <c r="A95" s="40"/>
      <c r="B95" s="63"/>
      <c r="C95" s="37" t="s">
        <v>9</v>
      </c>
      <c r="D95" s="51">
        <f>290942+671905702+801893</f>
        <v>672998537</v>
      </c>
      <c r="E95" s="27">
        <f>E97+E114+E123+E130+E137+E141+E109</f>
        <v>8338413</v>
      </c>
      <c r="F95" s="27">
        <f t="shared" si="8"/>
        <v>681336950</v>
      </c>
      <c r="G95" s="7"/>
      <c r="H95" s="92"/>
    </row>
    <row r="96" spans="1:8" ht="24.75" customHeight="1" thickBot="1">
      <c r="A96" s="41"/>
      <c r="B96" s="64"/>
      <c r="C96" s="38" t="s">
        <v>6</v>
      </c>
      <c r="D96" s="28">
        <f>477675349+801893</f>
        <v>478477242</v>
      </c>
      <c r="E96" s="28">
        <f>E116+E125:F125+E132+E99+E111</f>
        <v>8168413</v>
      </c>
      <c r="F96" s="28">
        <f t="shared" si="8"/>
        <v>486645655</v>
      </c>
      <c r="G96" s="7"/>
      <c r="H96" s="2"/>
    </row>
    <row r="97" spans="1:8" ht="39" customHeight="1">
      <c r="A97" s="69" t="s">
        <v>19</v>
      </c>
      <c r="B97" s="49"/>
      <c r="C97" s="49" t="s">
        <v>18</v>
      </c>
      <c r="D97" s="29">
        <f>D98</f>
        <v>127062342</v>
      </c>
      <c r="E97" s="29">
        <f>E98</f>
        <v>101500</v>
      </c>
      <c r="F97" s="29">
        <f t="shared" si="8"/>
        <v>127163842</v>
      </c>
      <c r="G97" s="7"/>
      <c r="H97" s="2"/>
    </row>
    <row r="98" spans="1:8" ht="38.25" customHeight="1">
      <c r="A98" s="69" t="s">
        <v>20</v>
      </c>
      <c r="B98" s="49"/>
      <c r="C98" s="49" t="s">
        <v>18</v>
      </c>
      <c r="D98" s="29">
        <f>126522710+539632</f>
        <v>127062342</v>
      </c>
      <c r="E98" s="29">
        <f>E100+E103+E106</f>
        <v>101500</v>
      </c>
      <c r="F98" s="29">
        <f t="shared" si="8"/>
        <v>127163842</v>
      </c>
      <c r="G98" s="7"/>
      <c r="H98" s="2"/>
    </row>
    <row r="99" spans="1:8" ht="20.25" customHeight="1">
      <c r="A99" s="106"/>
      <c r="B99" s="49"/>
      <c r="C99" s="67" t="s">
        <v>6</v>
      </c>
      <c r="D99" s="29">
        <f>48155529+539632</f>
        <v>48695161</v>
      </c>
      <c r="E99" s="29">
        <f>E108</f>
        <v>101500</v>
      </c>
      <c r="F99" s="29">
        <f>D99+E99</f>
        <v>48796661</v>
      </c>
      <c r="G99" s="7"/>
      <c r="H99" s="2"/>
    </row>
    <row r="100" spans="1:8" ht="27" customHeight="1">
      <c r="A100" s="66" t="s">
        <v>24</v>
      </c>
      <c r="B100" s="66">
        <v>1010</v>
      </c>
      <c r="C100" s="48" t="s">
        <v>22</v>
      </c>
      <c r="D100" s="44">
        <f>40559438+174650</f>
        <v>40734088</v>
      </c>
      <c r="E100" s="44">
        <f>SUM(E101:E102)</f>
        <v>0</v>
      </c>
      <c r="F100" s="44">
        <f t="shared" si="8"/>
        <v>40734088</v>
      </c>
      <c r="G100" s="7"/>
      <c r="H100" s="2"/>
    </row>
    <row r="101" spans="1:8" ht="20.25" customHeight="1">
      <c r="A101" s="57"/>
      <c r="B101" s="57"/>
      <c r="C101" s="47" t="s">
        <v>44</v>
      </c>
      <c r="D101" s="68">
        <f>39007763</f>
        <v>39007763</v>
      </c>
      <c r="E101" s="56">
        <f>-20000</f>
        <v>-20000</v>
      </c>
      <c r="F101" s="56">
        <f t="shared" si="8"/>
        <v>38987763</v>
      </c>
      <c r="G101" s="7"/>
      <c r="H101" s="2"/>
    </row>
    <row r="102" spans="1:8" ht="20.25" customHeight="1">
      <c r="A102" s="57"/>
      <c r="B102" s="57"/>
      <c r="C102" s="47" t="s">
        <v>49</v>
      </c>
      <c r="D102" s="56">
        <f>1551675+174650</f>
        <v>1726325</v>
      </c>
      <c r="E102" s="56">
        <f>20000</f>
        <v>20000</v>
      </c>
      <c r="F102" s="56">
        <f t="shared" si="8"/>
        <v>1746325</v>
      </c>
      <c r="G102" s="7"/>
      <c r="H102" s="2"/>
    </row>
    <row r="103" spans="1:8" ht="66" customHeight="1">
      <c r="A103" s="66" t="s">
        <v>59</v>
      </c>
      <c r="B103" s="66" t="s">
        <v>67</v>
      </c>
      <c r="C103" s="48" t="s">
        <v>58</v>
      </c>
      <c r="D103" s="44">
        <f>336586</f>
        <v>336586</v>
      </c>
      <c r="E103" s="44">
        <f>SUM(E104:E105)</f>
        <v>0</v>
      </c>
      <c r="F103" s="44">
        <f t="shared" si="8"/>
        <v>336586</v>
      </c>
      <c r="G103" s="7"/>
      <c r="H103" s="2"/>
    </row>
    <row r="104" spans="1:8" ht="22.5" customHeight="1">
      <c r="A104" s="83"/>
      <c r="B104" s="77"/>
      <c r="C104" s="47" t="s">
        <v>44</v>
      </c>
      <c r="D104" s="78">
        <f>265532</f>
        <v>265532</v>
      </c>
      <c r="E104" s="78">
        <v>-25000</v>
      </c>
      <c r="F104" s="56">
        <f t="shared" si="8"/>
        <v>240532</v>
      </c>
      <c r="G104" s="7"/>
      <c r="H104" s="2"/>
    </row>
    <row r="105" spans="1:8" ht="21" customHeight="1">
      <c r="A105" s="57"/>
      <c r="B105" s="57"/>
      <c r="C105" s="47" t="s">
        <v>49</v>
      </c>
      <c r="D105" s="68">
        <f>71054</f>
        <v>71054</v>
      </c>
      <c r="E105" s="56">
        <v>25000</v>
      </c>
      <c r="F105" s="56">
        <f t="shared" ref="F105:F110" si="16">D105+E105</f>
        <v>96054</v>
      </c>
      <c r="G105" s="7"/>
      <c r="H105" s="2"/>
    </row>
    <row r="106" spans="1:8" ht="31.5" customHeight="1">
      <c r="A106" s="66">
        <v>1015030</v>
      </c>
      <c r="B106" s="66" t="s">
        <v>152</v>
      </c>
      <c r="C106" s="48" t="s">
        <v>150</v>
      </c>
      <c r="D106" s="99">
        <v>19494129</v>
      </c>
      <c r="E106" s="99">
        <f>E107</f>
        <v>101500</v>
      </c>
      <c r="F106" s="44">
        <f t="shared" si="16"/>
        <v>19595629</v>
      </c>
      <c r="G106" s="7"/>
      <c r="H106" s="2"/>
    </row>
    <row r="107" spans="1:8" ht="50.25" customHeight="1">
      <c r="A107" s="86">
        <v>1015031</v>
      </c>
      <c r="B107" s="86" t="s">
        <v>153</v>
      </c>
      <c r="C107" s="47" t="s">
        <v>151</v>
      </c>
      <c r="D107" s="78">
        <v>19494129</v>
      </c>
      <c r="E107" s="78">
        <f>E108</f>
        <v>101500</v>
      </c>
      <c r="F107" s="56">
        <f>D107+E107</f>
        <v>19595629</v>
      </c>
      <c r="G107" s="7"/>
      <c r="H107" s="2"/>
    </row>
    <row r="108" spans="1:8" ht="25.5" customHeight="1">
      <c r="A108" s="114"/>
      <c r="B108" s="77"/>
      <c r="C108" s="47" t="s">
        <v>6</v>
      </c>
      <c r="D108" s="78">
        <v>18069985</v>
      </c>
      <c r="E108" s="78">
        <v>101500</v>
      </c>
      <c r="F108" s="56">
        <f t="shared" si="16"/>
        <v>18171485</v>
      </c>
      <c r="G108" s="7"/>
      <c r="H108" s="2"/>
    </row>
    <row r="109" spans="1:8" ht="56.25" customHeight="1">
      <c r="A109" s="69" t="s">
        <v>184</v>
      </c>
      <c r="B109" s="49"/>
      <c r="C109" s="49" t="s">
        <v>186</v>
      </c>
      <c r="D109" s="29">
        <f>D110</f>
        <v>103763727</v>
      </c>
      <c r="E109" s="29">
        <f>E110</f>
        <v>40000</v>
      </c>
      <c r="F109" s="29">
        <f t="shared" si="16"/>
        <v>103803727</v>
      </c>
      <c r="G109" s="7"/>
      <c r="H109" s="2"/>
    </row>
    <row r="110" spans="1:8" ht="55.5" customHeight="1">
      <c r="A110" s="69" t="s">
        <v>185</v>
      </c>
      <c r="B110" s="49"/>
      <c r="C110" s="49" t="s">
        <v>186</v>
      </c>
      <c r="D110" s="29">
        <v>103763727</v>
      </c>
      <c r="E110" s="29">
        <f>E112</f>
        <v>40000</v>
      </c>
      <c r="F110" s="29">
        <f t="shared" si="16"/>
        <v>103803727</v>
      </c>
      <c r="G110" s="7"/>
      <c r="H110" s="2"/>
    </row>
    <row r="111" spans="1:8" ht="25.5" customHeight="1">
      <c r="A111" s="106"/>
      <c r="B111" s="49"/>
      <c r="C111" s="67" t="s">
        <v>6</v>
      </c>
      <c r="D111" s="29">
        <v>76559839</v>
      </c>
      <c r="E111" s="29">
        <f>E113</f>
        <v>40000</v>
      </c>
      <c r="F111" s="29">
        <f>D111+E111</f>
        <v>76599839</v>
      </c>
      <c r="G111" s="7"/>
      <c r="H111" s="2"/>
    </row>
    <row r="112" spans="1:8" ht="90.75" customHeight="1">
      <c r="A112" s="66" t="s">
        <v>187</v>
      </c>
      <c r="B112" s="66" t="s">
        <v>188</v>
      </c>
      <c r="C112" s="48" t="s">
        <v>189</v>
      </c>
      <c r="D112" s="44">
        <v>0</v>
      </c>
      <c r="E112" s="44">
        <f>E113</f>
        <v>40000</v>
      </c>
      <c r="F112" s="44">
        <f t="shared" ref="F112:F113" si="17">D112+E112</f>
        <v>40000</v>
      </c>
      <c r="G112" s="7"/>
      <c r="H112" s="2"/>
    </row>
    <row r="113" spans="1:8" ht="25.5" customHeight="1">
      <c r="A113" s="57"/>
      <c r="B113" s="57"/>
      <c r="C113" s="47" t="s">
        <v>6</v>
      </c>
      <c r="D113" s="68">
        <v>0</v>
      </c>
      <c r="E113" s="56">
        <f>40000</f>
        <v>40000</v>
      </c>
      <c r="F113" s="56">
        <f t="shared" si="17"/>
        <v>40000</v>
      </c>
      <c r="G113" s="7"/>
      <c r="H113" s="2"/>
    </row>
    <row r="114" spans="1:8" ht="39" customHeight="1">
      <c r="A114" s="69" t="s">
        <v>38</v>
      </c>
      <c r="B114" s="49"/>
      <c r="C114" s="49" t="s">
        <v>32</v>
      </c>
      <c r="D114" s="29">
        <f>D115</f>
        <v>24296571</v>
      </c>
      <c r="E114" s="29">
        <f t="shared" ref="E114:F114" si="18">E115</f>
        <v>796913</v>
      </c>
      <c r="F114" s="29">
        <f t="shared" si="18"/>
        <v>25093484</v>
      </c>
      <c r="G114" s="7"/>
      <c r="H114" s="2"/>
    </row>
    <row r="115" spans="1:8" ht="42" customHeight="1">
      <c r="A115" s="69">
        <v>2410000</v>
      </c>
      <c r="B115" s="49"/>
      <c r="C115" s="49" t="s">
        <v>32</v>
      </c>
      <c r="D115" s="29">
        <f>24199926+96645</f>
        <v>24296571</v>
      </c>
      <c r="E115" s="29">
        <f>E117+E119+E121</f>
        <v>796913</v>
      </c>
      <c r="F115" s="29">
        <f t="shared" ref="F115:F118" si="19">D115+E115</f>
        <v>25093484</v>
      </c>
      <c r="G115" s="7"/>
      <c r="H115" s="2"/>
    </row>
    <row r="116" spans="1:8" ht="20.25" customHeight="1">
      <c r="A116" s="70"/>
      <c r="B116" s="67"/>
      <c r="C116" s="67" t="s">
        <v>6</v>
      </c>
      <c r="D116" s="45">
        <f>18246150+96645</f>
        <v>18342795</v>
      </c>
      <c r="E116" s="45">
        <f>E118+E120+E122</f>
        <v>796913</v>
      </c>
      <c r="F116" s="45">
        <f t="shared" si="19"/>
        <v>19139708</v>
      </c>
      <c r="G116" s="7"/>
      <c r="H116" s="2"/>
    </row>
    <row r="117" spans="1:8" ht="25.5" customHeight="1">
      <c r="A117" s="75" t="s">
        <v>72</v>
      </c>
      <c r="B117" s="74" t="s">
        <v>73</v>
      </c>
      <c r="C117" s="76" t="s">
        <v>74</v>
      </c>
      <c r="D117" s="46">
        <f>36826</f>
        <v>36826</v>
      </c>
      <c r="E117" s="44">
        <f>E118</f>
        <v>380000</v>
      </c>
      <c r="F117" s="44">
        <f t="shared" si="19"/>
        <v>416826</v>
      </c>
      <c r="G117" s="7"/>
      <c r="H117" s="2"/>
    </row>
    <row r="118" spans="1:8" ht="20.25" customHeight="1">
      <c r="A118" s="57"/>
      <c r="B118" s="57"/>
      <c r="C118" s="47" t="s">
        <v>6</v>
      </c>
      <c r="D118" s="68">
        <v>0</v>
      </c>
      <c r="E118" s="56">
        <f>380000</f>
        <v>380000</v>
      </c>
      <c r="F118" s="56">
        <f t="shared" si="19"/>
        <v>380000</v>
      </c>
      <c r="G118" s="7"/>
      <c r="H118" s="2"/>
    </row>
    <row r="119" spans="1:8" ht="24" customHeight="1">
      <c r="A119" s="75" t="s">
        <v>75</v>
      </c>
      <c r="B119" s="74" t="s">
        <v>76</v>
      </c>
      <c r="C119" s="76" t="s">
        <v>77</v>
      </c>
      <c r="D119" s="46">
        <f>739081</f>
        <v>739081</v>
      </c>
      <c r="E119" s="44">
        <f>E120</f>
        <v>366913</v>
      </c>
      <c r="F119" s="44">
        <f t="shared" ref="F119:F120" si="20">D119+E119</f>
        <v>1105994</v>
      </c>
      <c r="G119" s="7"/>
      <c r="H119" s="2"/>
    </row>
    <row r="120" spans="1:8" ht="20.25" customHeight="1">
      <c r="A120" s="57"/>
      <c r="B120" s="57"/>
      <c r="C120" s="47" t="s">
        <v>6</v>
      </c>
      <c r="D120" s="68">
        <f>619366</f>
        <v>619366</v>
      </c>
      <c r="E120" s="56">
        <f>366913</f>
        <v>366913</v>
      </c>
      <c r="F120" s="56">
        <f t="shared" si="20"/>
        <v>986279</v>
      </c>
      <c r="G120" s="7"/>
      <c r="H120" s="2"/>
    </row>
    <row r="121" spans="1:8" ht="20.25" customHeight="1">
      <c r="A121" s="75" t="s">
        <v>78</v>
      </c>
      <c r="B121" s="74" t="s">
        <v>79</v>
      </c>
      <c r="C121" s="76" t="s">
        <v>80</v>
      </c>
      <c r="D121" s="46">
        <f>5486760+38400</f>
        <v>5525160</v>
      </c>
      <c r="E121" s="44">
        <f>E122</f>
        <v>50000</v>
      </c>
      <c r="F121" s="44">
        <f t="shared" ref="F121:F122" si="21">D121+E121</f>
        <v>5575160</v>
      </c>
      <c r="G121" s="7"/>
      <c r="H121" s="2"/>
    </row>
    <row r="122" spans="1:8" ht="20.25" customHeight="1">
      <c r="A122" s="57"/>
      <c r="B122" s="57"/>
      <c r="C122" s="47" t="s">
        <v>6</v>
      </c>
      <c r="D122" s="68">
        <f>96571+38400</f>
        <v>134971</v>
      </c>
      <c r="E122" s="56">
        <f>50000</f>
        <v>50000</v>
      </c>
      <c r="F122" s="56">
        <f t="shared" si="21"/>
        <v>184971</v>
      </c>
      <c r="G122" s="7"/>
      <c r="H122" s="2"/>
    </row>
    <row r="123" spans="1:8" ht="60.75" customHeight="1">
      <c r="A123" s="69" t="s">
        <v>114</v>
      </c>
      <c r="B123" s="49"/>
      <c r="C123" s="49" t="s">
        <v>7</v>
      </c>
      <c r="D123" s="29">
        <f>D124</f>
        <v>238368923</v>
      </c>
      <c r="E123" s="29">
        <f t="shared" ref="E123:F123" si="22">E124</f>
        <v>1030000</v>
      </c>
      <c r="F123" s="29">
        <f t="shared" si="22"/>
        <v>239398923</v>
      </c>
      <c r="G123" s="7"/>
      <c r="H123" s="2"/>
    </row>
    <row r="124" spans="1:8" ht="59.25" customHeight="1">
      <c r="A124" s="69" t="s">
        <v>115</v>
      </c>
      <c r="B124" s="49"/>
      <c r="C124" s="49" t="s">
        <v>7</v>
      </c>
      <c r="D124" s="29">
        <f>238253307+115616</f>
        <v>238368923</v>
      </c>
      <c r="E124" s="29">
        <f>E126+E128</f>
        <v>1030000</v>
      </c>
      <c r="F124" s="29">
        <f t="shared" ref="F124:F129" si="23">D124+E124</f>
        <v>239398923</v>
      </c>
      <c r="G124" s="7"/>
      <c r="H124" s="2"/>
    </row>
    <row r="125" spans="1:8" ht="20.25" customHeight="1">
      <c r="A125" s="70"/>
      <c r="B125" s="67"/>
      <c r="C125" s="67" t="s">
        <v>6</v>
      </c>
      <c r="D125" s="45">
        <f>210514007+115616</f>
        <v>210629623</v>
      </c>
      <c r="E125" s="45">
        <f>E127+E129</f>
        <v>1030000</v>
      </c>
      <c r="F125" s="45">
        <f t="shared" si="23"/>
        <v>211659623</v>
      </c>
      <c r="G125" s="7"/>
      <c r="H125" s="2"/>
    </row>
    <row r="126" spans="1:8" ht="37.5" customHeight="1">
      <c r="A126" s="75" t="s">
        <v>116</v>
      </c>
      <c r="B126" s="74" t="s">
        <v>117</v>
      </c>
      <c r="C126" s="76" t="s">
        <v>118</v>
      </c>
      <c r="D126" s="46">
        <f>15200000</f>
        <v>15200000</v>
      </c>
      <c r="E126" s="44">
        <f>E127</f>
        <v>30000</v>
      </c>
      <c r="F126" s="44">
        <f t="shared" si="23"/>
        <v>15230000</v>
      </c>
      <c r="G126" s="7"/>
      <c r="H126" s="2"/>
    </row>
    <row r="127" spans="1:8" ht="20.25" customHeight="1">
      <c r="A127" s="57"/>
      <c r="B127" s="57"/>
      <c r="C127" s="47" t="s">
        <v>6</v>
      </c>
      <c r="D127" s="68">
        <f>15200000</f>
        <v>15200000</v>
      </c>
      <c r="E127" s="56">
        <f>30000</f>
        <v>30000</v>
      </c>
      <c r="F127" s="56">
        <f t="shared" si="23"/>
        <v>15230000</v>
      </c>
      <c r="G127" s="7"/>
      <c r="H127" s="2"/>
    </row>
    <row r="128" spans="1:8" ht="39" customHeight="1">
      <c r="A128" s="75">
        <v>4017500</v>
      </c>
      <c r="B128" s="74">
        <v>7500</v>
      </c>
      <c r="C128" s="76" t="s">
        <v>42</v>
      </c>
      <c r="D128" s="99">
        <v>103503973</v>
      </c>
      <c r="E128" s="99">
        <v>1000000</v>
      </c>
      <c r="F128" s="44">
        <f t="shared" si="23"/>
        <v>104503973</v>
      </c>
      <c r="G128" s="7"/>
      <c r="H128" s="2"/>
    </row>
    <row r="129" spans="1:8" ht="23.25" customHeight="1">
      <c r="A129" s="81"/>
      <c r="B129" s="82"/>
      <c r="C129" s="47" t="s">
        <v>6</v>
      </c>
      <c r="D129" s="78">
        <v>103503973</v>
      </c>
      <c r="E129" s="78">
        <v>1000000</v>
      </c>
      <c r="F129" s="56">
        <f t="shared" si="23"/>
        <v>104503973</v>
      </c>
      <c r="G129" s="7"/>
      <c r="H129" s="2"/>
    </row>
    <row r="130" spans="1:8" ht="62.25" customHeight="1">
      <c r="A130" s="69" t="s">
        <v>101</v>
      </c>
      <c r="B130" s="49"/>
      <c r="C130" s="49" t="s">
        <v>12</v>
      </c>
      <c r="D130" s="29">
        <f>D131</f>
        <v>120417066</v>
      </c>
      <c r="E130" s="29">
        <f t="shared" ref="E130:F130" si="24">E131</f>
        <v>6300000</v>
      </c>
      <c r="F130" s="29">
        <f t="shared" si="24"/>
        <v>126717066</v>
      </c>
      <c r="G130" s="7"/>
      <c r="H130" s="2"/>
    </row>
    <row r="131" spans="1:8" ht="60" customHeight="1">
      <c r="A131" s="69" t="s">
        <v>102</v>
      </c>
      <c r="B131" s="49"/>
      <c r="C131" s="49" t="s">
        <v>12</v>
      </c>
      <c r="D131" s="29">
        <v>120417066</v>
      </c>
      <c r="E131" s="29">
        <f>E133+E135</f>
        <v>6300000</v>
      </c>
      <c r="F131" s="29">
        <f t="shared" ref="F131:F136" si="25">D131+E131</f>
        <v>126717066</v>
      </c>
      <c r="G131" s="7"/>
      <c r="H131" s="2"/>
    </row>
    <row r="132" spans="1:8" ht="20.25" customHeight="1">
      <c r="A132" s="70"/>
      <c r="B132" s="67"/>
      <c r="C132" s="67" t="s">
        <v>6</v>
      </c>
      <c r="D132" s="45">
        <v>86293166</v>
      </c>
      <c r="E132" s="45">
        <f>E134</f>
        <v>6200000</v>
      </c>
      <c r="F132" s="45">
        <f t="shared" si="25"/>
        <v>92493166</v>
      </c>
      <c r="G132" s="7"/>
      <c r="H132" s="2"/>
    </row>
    <row r="133" spans="1:8" ht="38.25" customHeight="1">
      <c r="A133" s="75" t="s">
        <v>119</v>
      </c>
      <c r="B133" s="74" t="s">
        <v>120</v>
      </c>
      <c r="C133" s="76" t="s">
        <v>121</v>
      </c>
      <c r="D133" s="46">
        <v>68373166</v>
      </c>
      <c r="E133" s="44">
        <f>E134</f>
        <v>6200000</v>
      </c>
      <c r="F133" s="44">
        <f t="shared" si="25"/>
        <v>74573166</v>
      </c>
      <c r="G133" s="7"/>
      <c r="H133" s="2"/>
    </row>
    <row r="134" spans="1:8" ht="20.25" customHeight="1">
      <c r="A134" s="57"/>
      <c r="B134" s="57"/>
      <c r="C134" s="47" t="s">
        <v>6</v>
      </c>
      <c r="D134" s="68">
        <v>68373166</v>
      </c>
      <c r="E134" s="56">
        <f>6200000</f>
        <v>6200000</v>
      </c>
      <c r="F134" s="56">
        <f t="shared" si="25"/>
        <v>74573166</v>
      </c>
      <c r="G134" s="7"/>
      <c r="H134" s="2"/>
    </row>
    <row r="135" spans="1:8" ht="72" customHeight="1">
      <c r="A135" s="75">
        <v>4819180</v>
      </c>
      <c r="B135" s="74">
        <v>9180</v>
      </c>
      <c r="C135" s="76" t="s">
        <v>154</v>
      </c>
      <c r="D135" s="46">
        <v>3219000</v>
      </c>
      <c r="E135" s="44">
        <f>E136</f>
        <v>100000</v>
      </c>
      <c r="F135" s="44">
        <f t="shared" si="25"/>
        <v>3319000</v>
      </c>
      <c r="G135" s="7"/>
      <c r="H135" s="2"/>
    </row>
    <row r="136" spans="1:8" ht="20.25" customHeight="1">
      <c r="A136" s="81"/>
      <c r="B136" s="82"/>
      <c r="C136" s="98" t="s">
        <v>44</v>
      </c>
      <c r="D136" s="78">
        <v>843000</v>
      </c>
      <c r="E136" s="78">
        <v>100000</v>
      </c>
      <c r="F136" s="56">
        <f t="shared" si="25"/>
        <v>943000</v>
      </c>
      <c r="G136" s="7"/>
      <c r="H136" s="2"/>
    </row>
    <row r="137" spans="1:8" ht="38.25" customHeight="1">
      <c r="A137" s="69" t="s">
        <v>50</v>
      </c>
      <c r="B137" s="49"/>
      <c r="C137" s="49" t="s">
        <v>52</v>
      </c>
      <c r="D137" s="29">
        <f>D138</f>
        <v>3544800</v>
      </c>
      <c r="E137" s="29">
        <f>E138</f>
        <v>70000</v>
      </c>
      <c r="F137" s="29">
        <f t="shared" ref="F137:F140" si="26">D137+E137</f>
        <v>3614800</v>
      </c>
      <c r="G137" s="7"/>
      <c r="H137" s="7"/>
    </row>
    <row r="138" spans="1:8" ht="39.75" customHeight="1">
      <c r="A138" s="69" t="s">
        <v>51</v>
      </c>
      <c r="B138" s="49"/>
      <c r="C138" s="49" t="s">
        <v>52</v>
      </c>
      <c r="D138" s="29">
        <v>3544800</v>
      </c>
      <c r="E138" s="29">
        <f>E139</f>
        <v>70000</v>
      </c>
      <c r="F138" s="29">
        <f t="shared" si="26"/>
        <v>3614800</v>
      </c>
      <c r="G138" s="7"/>
      <c r="H138" s="7"/>
    </row>
    <row r="139" spans="1:8" ht="35.25" customHeight="1">
      <c r="A139" s="75" t="s">
        <v>53</v>
      </c>
      <c r="B139" s="74" t="s">
        <v>96</v>
      </c>
      <c r="C139" s="48" t="s">
        <v>43</v>
      </c>
      <c r="D139" s="46">
        <v>11500</v>
      </c>
      <c r="E139" s="44">
        <f>SUM(E140:E140)</f>
        <v>70000</v>
      </c>
      <c r="F139" s="44">
        <f t="shared" si="26"/>
        <v>81500</v>
      </c>
      <c r="G139" s="7"/>
      <c r="H139" s="7"/>
    </row>
    <row r="140" spans="1:8" ht="18.75" customHeight="1">
      <c r="A140" s="57"/>
      <c r="B140" s="57"/>
      <c r="C140" s="47" t="s">
        <v>44</v>
      </c>
      <c r="D140" s="68">
        <v>11500</v>
      </c>
      <c r="E140" s="56">
        <f>70000</f>
        <v>70000</v>
      </c>
      <c r="F140" s="56">
        <f t="shared" si="26"/>
        <v>81500</v>
      </c>
      <c r="G140" s="7"/>
      <c r="H140" s="7"/>
    </row>
    <row r="141" spans="1:8" ht="78.75" customHeight="1">
      <c r="A141" s="69" t="s">
        <v>93</v>
      </c>
      <c r="B141" s="49"/>
      <c r="C141" s="49" t="s">
        <v>68</v>
      </c>
      <c r="D141" s="29">
        <f>D142</f>
        <v>2460000</v>
      </c>
      <c r="E141" s="29">
        <f>E142</f>
        <v>0</v>
      </c>
      <c r="F141" s="29">
        <f t="shared" ref="F141:F145" si="27">D141+E141</f>
        <v>2460000</v>
      </c>
      <c r="G141" s="7"/>
      <c r="H141" s="7"/>
    </row>
    <row r="142" spans="1:8" ht="75" customHeight="1">
      <c r="A142" s="69" t="s">
        <v>94</v>
      </c>
      <c r="B142" s="49"/>
      <c r="C142" s="49" t="s">
        <v>68</v>
      </c>
      <c r="D142" s="29">
        <f>2460000</f>
        <v>2460000</v>
      </c>
      <c r="E142" s="29">
        <f>E143</f>
        <v>0</v>
      </c>
      <c r="F142" s="29">
        <f t="shared" si="27"/>
        <v>2460000</v>
      </c>
      <c r="G142" s="7"/>
      <c r="H142" s="7"/>
    </row>
    <row r="143" spans="1:8" ht="33" customHeight="1">
      <c r="A143" s="75" t="s">
        <v>95</v>
      </c>
      <c r="B143" s="74" t="s">
        <v>96</v>
      </c>
      <c r="C143" s="48" t="s">
        <v>43</v>
      </c>
      <c r="D143" s="46">
        <f>2350000</f>
        <v>2350000</v>
      </c>
      <c r="E143" s="44">
        <f>SUM(E144:E145)</f>
        <v>0</v>
      </c>
      <c r="F143" s="44">
        <f t="shared" si="27"/>
        <v>2350000</v>
      </c>
      <c r="G143" s="7"/>
      <c r="H143" s="7"/>
    </row>
    <row r="144" spans="1:8" ht="20.25" customHeight="1">
      <c r="A144" s="57"/>
      <c r="B144" s="57"/>
      <c r="C144" s="47" t="s">
        <v>44</v>
      </c>
      <c r="D144" s="68">
        <f>2350000</f>
        <v>2350000</v>
      </c>
      <c r="E144" s="56">
        <v>-2350000</v>
      </c>
      <c r="F144" s="56">
        <f t="shared" si="27"/>
        <v>0</v>
      </c>
      <c r="G144" s="7"/>
      <c r="H144" s="7"/>
    </row>
    <row r="145" spans="1:12" ht="19.5" customHeight="1" thickBot="1">
      <c r="A145" s="81"/>
      <c r="B145" s="82"/>
      <c r="C145" s="47" t="s">
        <v>49</v>
      </c>
      <c r="D145" s="68">
        <v>0</v>
      </c>
      <c r="E145" s="56">
        <v>2350000</v>
      </c>
      <c r="F145" s="56">
        <f t="shared" si="27"/>
        <v>2350000</v>
      </c>
      <c r="G145" s="7"/>
      <c r="H145" s="7"/>
    </row>
    <row r="146" spans="1:12" ht="58.5" customHeight="1" thickBot="1">
      <c r="A146" s="11"/>
      <c r="B146" s="11"/>
      <c r="C146" s="36" t="s">
        <v>27</v>
      </c>
      <c r="D146" s="42">
        <f>D51+D95</f>
        <v>5925401747.4799995</v>
      </c>
      <c r="E146" s="42">
        <f>E51+E95</f>
        <v>40030902</v>
      </c>
      <c r="F146" s="42">
        <f t="shared" ref="F146" si="28">D146+E146</f>
        <v>5965432649.4799995</v>
      </c>
      <c r="G146" s="7"/>
      <c r="H146" s="92"/>
      <c r="I146" s="93"/>
    </row>
    <row r="147" spans="1:12" ht="38.25" customHeight="1" thickBot="1">
      <c r="A147" s="11"/>
      <c r="B147" s="62"/>
      <c r="C147" s="36" t="s">
        <v>10</v>
      </c>
      <c r="D147" s="26">
        <f>D148+D149</f>
        <v>-237617939.52000001</v>
      </c>
      <c r="E147" s="26">
        <f>E148+E149</f>
        <v>-8168413</v>
      </c>
      <c r="F147" s="26">
        <f t="shared" ref="F147:F152" si="29">D147+E147</f>
        <v>-245786352.52000001</v>
      </c>
      <c r="G147" s="7"/>
      <c r="H147" s="2"/>
      <c r="I147" s="71"/>
    </row>
    <row r="148" spans="1:12" ht="67.5" hidden="1" customHeight="1" thickBot="1">
      <c r="A148" s="58"/>
      <c r="B148" s="58"/>
      <c r="C148" s="59" t="s">
        <v>16</v>
      </c>
      <c r="D148" s="60">
        <f>192309002.48</f>
        <v>192309002.47999999</v>
      </c>
      <c r="E148" s="60"/>
      <c r="F148" s="60">
        <f t="shared" si="29"/>
        <v>192309002.47999999</v>
      </c>
      <c r="G148" s="7"/>
      <c r="H148" s="2"/>
      <c r="I148" s="71"/>
    </row>
    <row r="149" spans="1:12" ht="65.25" customHeight="1" thickBot="1">
      <c r="A149" s="22"/>
      <c r="B149" s="65"/>
      <c r="C149" s="39" t="s">
        <v>4</v>
      </c>
      <c r="D149" s="43">
        <f>-429125049-801893</f>
        <v>-429926942</v>
      </c>
      <c r="E149" s="43">
        <f>-E152</f>
        <v>-8168413</v>
      </c>
      <c r="F149" s="43">
        <f t="shared" si="29"/>
        <v>-438095355</v>
      </c>
      <c r="G149" s="7"/>
      <c r="H149" s="2"/>
      <c r="I149" s="71"/>
    </row>
    <row r="150" spans="1:12" ht="38.25" customHeight="1" thickBot="1">
      <c r="A150" s="11"/>
      <c r="B150" s="62"/>
      <c r="C150" s="36" t="s">
        <v>11</v>
      </c>
      <c r="D150" s="26">
        <f>SUM(D151:D152)</f>
        <v>487213807</v>
      </c>
      <c r="E150" s="26">
        <f>SUM(E151:E152)</f>
        <v>8168413</v>
      </c>
      <c r="F150" s="26">
        <f t="shared" si="29"/>
        <v>495382220</v>
      </c>
      <c r="G150" s="7"/>
      <c r="H150" s="2"/>
      <c r="I150" s="71"/>
    </row>
    <row r="151" spans="1:12" ht="72.75" hidden="1" customHeight="1" thickBot="1">
      <c r="A151" s="61"/>
      <c r="B151" s="61"/>
      <c r="C151" s="59" t="s">
        <v>17</v>
      </c>
      <c r="D151" s="60">
        <v>57286865</v>
      </c>
      <c r="E151" s="60"/>
      <c r="F151" s="60">
        <f t="shared" si="29"/>
        <v>57286865</v>
      </c>
      <c r="G151" s="7"/>
      <c r="H151" s="2"/>
      <c r="I151" s="71"/>
      <c r="K151" s="71"/>
    </row>
    <row r="152" spans="1:12" ht="70.5" customHeight="1" thickBot="1">
      <c r="A152" s="22"/>
      <c r="B152" s="65"/>
      <c r="C152" s="39" t="s">
        <v>5</v>
      </c>
      <c r="D152" s="43">
        <f>429125049+801893</f>
        <v>429926942</v>
      </c>
      <c r="E152" s="43">
        <f>E96</f>
        <v>8168413</v>
      </c>
      <c r="F152" s="43">
        <f t="shared" si="29"/>
        <v>438095355</v>
      </c>
      <c r="G152" s="7"/>
      <c r="H152" s="2"/>
      <c r="I152" s="73"/>
    </row>
    <row r="153" spans="1:12" ht="18.75" customHeight="1">
      <c r="A153" s="23"/>
      <c r="B153" s="23"/>
      <c r="C153" s="24"/>
      <c r="D153" s="7"/>
      <c r="E153" s="7"/>
      <c r="F153" s="7"/>
      <c r="G153" s="7"/>
      <c r="H153" s="2"/>
    </row>
    <row r="154" spans="1:12" ht="93.75" customHeight="1">
      <c r="A154" s="121" t="s">
        <v>29</v>
      </c>
      <c r="B154" s="121"/>
      <c r="C154" s="121"/>
      <c r="D154" s="10"/>
      <c r="E154" s="54" t="s">
        <v>30</v>
      </c>
      <c r="F154" s="12"/>
      <c r="G154" s="12"/>
      <c r="H154" s="2"/>
      <c r="J154" s="30"/>
      <c r="K154" s="30"/>
      <c r="L154" s="30"/>
    </row>
    <row r="155" spans="1:12" ht="23.25" customHeight="1">
      <c r="A155" s="15"/>
      <c r="B155" s="15"/>
      <c r="C155" s="13"/>
      <c r="D155" s="10"/>
      <c r="E155" s="14"/>
      <c r="F155" s="12"/>
      <c r="G155" s="12"/>
      <c r="H155" s="2"/>
      <c r="J155" s="30"/>
      <c r="K155" s="30"/>
      <c r="L155" s="30"/>
    </row>
    <row r="156" spans="1:12" ht="20.25">
      <c r="A156" s="10"/>
      <c r="B156" s="10"/>
      <c r="E156" s="10"/>
      <c r="F156" s="5"/>
      <c r="G156" s="5"/>
      <c r="H156" s="2"/>
      <c r="J156" s="30"/>
      <c r="K156" s="30"/>
      <c r="L156" s="30"/>
    </row>
    <row r="157" spans="1:12" ht="18.75">
      <c r="A157" s="8"/>
      <c r="B157" s="8"/>
      <c r="C157" s="9"/>
      <c r="D157" s="5"/>
      <c r="E157" s="5"/>
      <c r="F157" s="5"/>
      <c r="G157" s="5"/>
      <c r="H157" s="2"/>
    </row>
    <row r="158" spans="1:12" ht="18.75">
      <c r="A158" s="8"/>
      <c r="B158" s="8"/>
      <c r="C158" s="9"/>
      <c r="D158" s="5"/>
      <c r="E158" s="25"/>
      <c r="F158" s="5"/>
      <c r="G158" s="5"/>
      <c r="H158" s="2"/>
    </row>
    <row r="159" spans="1:12" ht="18.75">
      <c r="A159" s="8"/>
      <c r="B159" s="8"/>
      <c r="C159" s="9"/>
      <c r="D159" s="5"/>
      <c r="E159" s="5"/>
      <c r="F159" s="5"/>
      <c r="G159" s="5"/>
      <c r="H159" s="2"/>
      <c r="I159" s="32"/>
      <c r="J159" s="32"/>
      <c r="K159" s="32"/>
    </row>
    <row r="160" spans="1:12" ht="18.75">
      <c r="A160" s="8"/>
      <c r="B160" s="8"/>
      <c r="C160" s="9"/>
      <c r="D160" s="5"/>
      <c r="E160" s="5"/>
      <c r="F160" s="5"/>
      <c r="G160" s="5"/>
      <c r="H160" s="2"/>
    </row>
    <row r="161" spans="1:8" ht="18.75">
      <c r="A161" s="8"/>
      <c r="B161" s="8"/>
      <c r="C161" s="9"/>
      <c r="D161" s="5"/>
      <c r="E161" s="5"/>
      <c r="F161" s="5"/>
      <c r="G161" s="5"/>
      <c r="H161" s="2"/>
    </row>
    <row r="162" spans="1:8" ht="18.75">
      <c r="A162" s="8"/>
      <c r="B162" s="8"/>
      <c r="C162" s="9"/>
      <c r="D162" s="5"/>
      <c r="E162" s="5"/>
      <c r="F162" s="5"/>
      <c r="G162" s="5"/>
      <c r="H162" s="2"/>
    </row>
    <row r="163" spans="1:8" ht="18.75">
      <c r="A163" s="8"/>
      <c r="B163" s="8"/>
      <c r="C163" s="9"/>
      <c r="D163" s="5"/>
      <c r="E163" s="5"/>
      <c r="F163" s="5"/>
      <c r="G163" s="5"/>
      <c r="H163" s="2"/>
    </row>
    <row r="164" spans="1:8" ht="18.75">
      <c r="A164" s="8"/>
      <c r="B164" s="8"/>
      <c r="C164" s="9"/>
      <c r="D164" s="5"/>
      <c r="E164" s="5"/>
      <c r="F164" s="5"/>
      <c r="G164" s="5"/>
      <c r="H164" s="2"/>
    </row>
    <row r="165" spans="1:8" ht="18.75">
      <c r="A165" s="8"/>
      <c r="B165" s="8"/>
      <c r="C165" s="9"/>
      <c r="D165" s="5"/>
      <c r="E165" s="5"/>
      <c r="F165" s="5"/>
      <c r="G165" s="5"/>
      <c r="H165" s="2"/>
    </row>
    <row r="166" spans="1:8" ht="18.75">
      <c r="A166" s="8"/>
      <c r="B166" s="8"/>
      <c r="C166" s="9"/>
      <c r="D166" s="5"/>
      <c r="E166" s="5"/>
      <c r="F166" s="5"/>
      <c r="G166" s="5"/>
      <c r="H166" s="2"/>
    </row>
    <row r="167" spans="1:8" ht="18.75">
      <c r="A167" s="8"/>
      <c r="B167" s="8"/>
      <c r="C167" s="9"/>
      <c r="D167" s="5"/>
      <c r="E167" s="5"/>
      <c r="F167" s="5"/>
      <c r="G167" s="5"/>
      <c r="H167" s="2"/>
    </row>
    <row r="168" spans="1:8">
      <c r="A168" s="3"/>
      <c r="B168" s="3"/>
      <c r="C168" s="2"/>
      <c r="H168" s="2"/>
    </row>
    <row r="169" spans="1:8">
      <c r="A169" s="3"/>
      <c r="B169" s="3"/>
      <c r="C169" s="2"/>
      <c r="H169" s="2"/>
    </row>
    <row r="170" spans="1:8">
      <c r="A170" s="3"/>
      <c r="B170" s="3"/>
      <c r="C170" s="2"/>
      <c r="H170" s="2"/>
    </row>
    <row r="171" spans="1:8">
      <c r="A171" s="3"/>
      <c r="B171" s="3"/>
      <c r="C171" s="2"/>
      <c r="H171" s="2"/>
    </row>
    <row r="172" spans="1:8">
      <c r="A172" s="3"/>
      <c r="B172" s="3"/>
      <c r="C172" s="2"/>
      <c r="H172" s="2"/>
    </row>
    <row r="173" spans="1:8">
      <c r="A173" s="3"/>
      <c r="B173" s="3"/>
      <c r="C173" s="2"/>
      <c r="H173" s="2"/>
    </row>
    <row r="174" spans="1:8">
      <c r="A174" s="3"/>
      <c r="B174" s="3"/>
      <c r="C174" s="2"/>
      <c r="H174" s="2"/>
    </row>
    <row r="175" spans="1:8">
      <c r="A175" s="3"/>
      <c r="B175" s="3"/>
      <c r="C175" s="2"/>
      <c r="H175" s="2"/>
    </row>
    <row r="176" spans="1:8">
      <c r="A176" s="3"/>
      <c r="B176" s="3"/>
      <c r="C176" s="2"/>
      <c r="H176" s="2"/>
    </row>
    <row r="177" spans="1:8">
      <c r="A177" s="3"/>
      <c r="B177" s="3"/>
      <c r="C177" s="2"/>
      <c r="H177" s="2"/>
    </row>
    <row r="178" spans="1:8">
      <c r="A178" s="3"/>
      <c r="B178" s="3"/>
      <c r="C178" s="2"/>
      <c r="H178" s="2"/>
    </row>
    <row r="179" spans="1:8">
      <c r="A179" s="3"/>
      <c r="B179" s="3"/>
      <c r="C179" s="2"/>
      <c r="H179" s="2"/>
    </row>
    <row r="180" spans="1:8">
      <c r="A180" s="3"/>
      <c r="B180" s="3"/>
      <c r="C180" s="2"/>
      <c r="H180" s="2"/>
    </row>
    <row r="181" spans="1:8">
      <c r="A181" s="3"/>
      <c r="B181" s="3"/>
      <c r="C181" s="2"/>
      <c r="H181" s="2"/>
    </row>
    <row r="182" spans="1:8">
      <c r="A182" s="3"/>
      <c r="B182" s="3"/>
      <c r="C182" s="2"/>
      <c r="H182" s="2"/>
    </row>
    <row r="183" spans="1:8">
      <c r="A183" s="3"/>
      <c r="B183" s="3"/>
      <c r="C183" s="2"/>
      <c r="H183" s="2"/>
    </row>
    <row r="184" spans="1:8">
      <c r="A184" s="3"/>
      <c r="B184" s="3"/>
      <c r="C184" s="2"/>
      <c r="H184" s="2"/>
    </row>
    <row r="185" spans="1:8">
      <c r="A185" s="3"/>
      <c r="B185" s="3"/>
      <c r="C185" s="2"/>
      <c r="H185" s="2"/>
    </row>
    <row r="186" spans="1:8">
      <c r="A186" s="3"/>
      <c r="B186" s="3"/>
      <c r="C186" s="2"/>
      <c r="H186" s="2"/>
    </row>
    <row r="187" spans="1:8">
      <c r="A187" s="3"/>
      <c r="B187" s="3"/>
      <c r="C187" s="2"/>
      <c r="H187" s="2"/>
    </row>
    <row r="188" spans="1:8">
      <c r="A188" s="3"/>
      <c r="B188" s="3"/>
      <c r="C188" s="2"/>
      <c r="H188" s="2"/>
    </row>
    <row r="189" spans="1:8">
      <c r="A189" s="3"/>
      <c r="B189" s="3"/>
      <c r="C189" s="2"/>
      <c r="H189" s="2"/>
    </row>
    <row r="190" spans="1:8">
      <c r="A190" s="3"/>
      <c r="B190" s="3"/>
      <c r="C190" s="2"/>
      <c r="H190" s="2"/>
    </row>
    <row r="191" spans="1:8">
      <c r="A191" s="3"/>
      <c r="B191" s="3"/>
      <c r="C191" s="2"/>
      <c r="H191" s="2"/>
    </row>
    <row r="192" spans="1:8">
      <c r="A192" s="3"/>
      <c r="B192" s="3"/>
      <c r="C192" s="2"/>
      <c r="H192" s="2"/>
    </row>
    <row r="193" spans="1:8">
      <c r="A193" s="3"/>
      <c r="B193" s="3"/>
      <c r="C193" s="2"/>
      <c r="H193" s="2"/>
    </row>
    <row r="194" spans="1:8">
      <c r="A194" s="3"/>
      <c r="B194" s="3"/>
      <c r="C194" s="2"/>
      <c r="H194" s="2"/>
    </row>
    <row r="195" spans="1:8">
      <c r="A195" s="3"/>
      <c r="B195" s="3"/>
      <c r="C195" s="2"/>
      <c r="H195" s="2"/>
    </row>
    <row r="196" spans="1:8">
      <c r="A196" s="3"/>
      <c r="B196" s="3"/>
      <c r="C196" s="2"/>
      <c r="H196" s="2"/>
    </row>
    <row r="197" spans="1:8">
      <c r="A197" s="3"/>
      <c r="B197" s="3"/>
      <c r="C197" s="2"/>
      <c r="H197" s="2"/>
    </row>
    <row r="198" spans="1:8">
      <c r="A198" s="3"/>
      <c r="B198" s="3"/>
      <c r="C198" s="2"/>
    </row>
    <row r="199" spans="1:8">
      <c r="A199" s="3"/>
      <c r="B199" s="3"/>
      <c r="C199" s="2"/>
    </row>
    <row r="200" spans="1:8">
      <c r="A200" s="3"/>
      <c r="B200" s="3"/>
      <c r="C200" s="2"/>
    </row>
    <row r="201" spans="1:8">
      <c r="A201" s="3"/>
      <c r="B201" s="3"/>
      <c r="C201" s="2"/>
    </row>
    <row r="202" spans="1:8">
      <c r="A202" s="3"/>
      <c r="B202" s="3"/>
      <c r="C202" s="2"/>
    </row>
    <row r="203" spans="1:8">
      <c r="A203" s="3"/>
      <c r="B203" s="3"/>
      <c r="C203" s="2"/>
    </row>
    <row r="204" spans="1:8">
      <c r="A204" s="3"/>
      <c r="B204" s="3"/>
      <c r="C204" s="2"/>
    </row>
    <row r="205" spans="1:8">
      <c r="A205" s="3"/>
      <c r="B205" s="3"/>
      <c r="C205" s="2"/>
    </row>
    <row r="206" spans="1:8">
      <c r="A206" s="3"/>
      <c r="B206" s="3"/>
      <c r="C206" s="2"/>
    </row>
    <row r="207" spans="1:8">
      <c r="A207" s="3"/>
      <c r="B207" s="3"/>
      <c r="C207" s="2"/>
    </row>
    <row r="208" spans="1:8">
      <c r="A208" s="3"/>
      <c r="B208" s="3"/>
      <c r="C208" s="2"/>
    </row>
    <row r="209" spans="1:3">
      <c r="A209" s="3"/>
      <c r="B209" s="3"/>
      <c r="C209" s="2"/>
    </row>
    <row r="210" spans="1:3">
      <c r="A210" s="3"/>
      <c r="B210" s="3"/>
      <c r="C210" s="2"/>
    </row>
    <row r="211" spans="1:3">
      <c r="A211" s="3"/>
      <c r="B211" s="3"/>
      <c r="C211" s="2"/>
    </row>
    <row r="212" spans="1:3">
      <c r="A212" s="3"/>
      <c r="B212" s="3"/>
      <c r="C212" s="2"/>
    </row>
    <row r="213" spans="1:3">
      <c r="A213" s="3"/>
      <c r="B213" s="3"/>
      <c r="C213" s="2"/>
    </row>
    <row r="214" spans="1:3">
      <c r="A214" s="3"/>
      <c r="B214" s="3"/>
      <c r="C214" s="2"/>
    </row>
    <row r="215" spans="1:3">
      <c r="A215" s="3"/>
      <c r="B215" s="3"/>
      <c r="C215" s="2"/>
    </row>
    <row r="216" spans="1:3">
      <c r="A216" s="3"/>
      <c r="B216" s="3"/>
      <c r="C216" s="2"/>
    </row>
    <row r="217" spans="1:3">
      <c r="A217" s="3"/>
      <c r="B217" s="3"/>
      <c r="C217" s="2"/>
    </row>
    <row r="218" spans="1:3">
      <c r="A218" s="3"/>
      <c r="B218" s="3"/>
      <c r="C218" s="2"/>
    </row>
    <row r="219" spans="1:3">
      <c r="A219" s="3"/>
      <c r="B219" s="3"/>
      <c r="C219" s="2"/>
    </row>
    <row r="220" spans="1:3">
      <c r="A220" s="3"/>
      <c r="B220" s="3"/>
      <c r="C220" s="2"/>
    </row>
    <row r="221" spans="1:3">
      <c r="A221" s="3"/>
      <c r="B221" s="3"/>
      <c r="C221" s="2"/>
    </row>
    <row r="222" spans="1:3">
      <c r="A222" s="3"/>
      <c r="B222" s="3"/>
      <c r="C222" s="2"/>
    </row>
    <row r="223" spans="1:3">
      <c r="A223" s="3"/>
      <c r="B223" s="3"/>
      <c r="C223" s="2"/>
    </row>
    <row r="224" spans="1:3">
      <c r="A224" s="3"/>
      <c r="B224" s="3"/>
      <c r="C224" s="2"/>
    </row>
    <row r="225" spans="1:3">
      <c r="A225" s="3"/>
      <c r="B225" s="3"/>
      <c r="C225" s="2"/>
    </row>
    <row r="226" spans="1:3">
      <c r="A226" s="3"/>
      <c r="B226" s="3"/>
      <c r="C226" s="2"/>
    </row>
    <row r="227" spans="1:3">
      <c r="A227" s="3"/>
      <c r="B227" s="3"/>
      <c r="C227" s="2"/>
    </row>
    <row r="228" spans="1:3">
      <c r="A228" s="3"/>
      <c r="B228" s="3"/>
      <c r="C228" s="2"/>
    </row>
    <row r="229" spans="1:3">
      <c r="A229" s="3"/>
      <c r="B229" s="3"/>
      <c r="C229" s="2"/>
    </row>
    <row r="230" spans="1:3">
      <c r="A230" s="3"/>
      <c r="B230" s="3"/>
      <c r="C230" s="2"/>
    </row>
    <row r="231" spans="1:3">
      <c r="A231" s="3"/>
      <c r="B231" s="3"/>
      <c r="C231" s="2"/>
    </row>
    <row r="232" spans="1:3">
      <c r="A232" s="3"/>
      <c r="B232" s="3"/>
    </row>
    <row r="233" spans="1:3">
      <c r="A233" s="3"/>
      <c r="B233" s="3"/>
    </row>
    <row r="234" spans="1:3">
      <c r="A234" s="3"/>
      <c r="B234" s="3"/>
    </row>
    <row r="235" spans="1:3">
      <c r="A235" s="3"/>
      <c r="B235" s="3"/>
    </row>
    <row r="236" spans="1:3">
      <c r="A236" s="3"/>
      <c r="B236" s="3"/>
    </row>
    <row r="237" spans="1:3">
      <c r="A237" s="3"/>
      <c r="B237" s="3"/>
    </row>
    <row r="238" spans="1:3">
      <c r="A238" s="3"/>
      <c r="B238" s="3"/>
    </row>
    <row r="239" spans="1:3">
      <c r="A239" s="3"/>
      <c r="B239" s="3"/>
    </row>
    <row r="240" spans="1:3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</sheetData>
  <mergeCells count="8">
    <mergeCell ref="A154:C154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</oddHeader>
  </headerFooter>
  <rowBreaks count="1" manualBreakCount="1">
    <brk id="1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zagalny3371</cp:lastModifiedBy>
  <cp:lastPrinted>2017-05-11T13:36:10Z</cp:lastPrinted>
  <dcterms:created xsi:type="dcterms:W3CDTF">2005-04-08T06:14:05Z</dcterms:created>
  <dcterms:modified xsi:type="dcterms:W3CDTF">2017-05-15T12:08:34Z</dcterms:modified>
</cp:coreProperties>
</file>