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1340" windowHeight="567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додаток!$A$1:$F$188</definedName>
  </definedNames>
  <calcPr calcId="124519"/>
</workbook>
</file>

<file path=xl/calcChain.xml><?xml version="1.0" encoding="utf-8"?>
<calcChain xmlns="http://schemas.openxmlformats.org/spreadsheetml/2006/main">
  <c r="E14" i="4"/>
  <c r="E144"/>
  <c r="E68" l="1"/>
  <c r="E112" l="1"/>
  <c r="F112" s="1"/>
  <c r="E110"/>
  <c r="E106"/>
  <c r="E103"/>
  <c r="E104"/>
  <c r="F104" s="1"/>
  <c r="F103"/>
  <c r="E45"/>
  <c r="E42"/>
  <c r="E41"/>
  <c r="E67"/>
  <c r="F68"/>
  <c r="E111" l="1"/>
  <c r="F111" s="1"/>
  <c r="F57"/>
  <c r="F144"/>
  <c r="E142"/>
  <c r="D143"/>
  <c r="E143"/>
  <c r="F143" s="1"/>
  <c r="E158"/>
  <c r="E28"/>
  <c r="E140" l="1"/>
  <c r="E118"/>
  <c r="E119"/>
  <c r="E48"/>
  <c r="E120" l="1"/>
  <c r="E123"/>
  <c r="E102" s="1"/>
  <c r="F122"/>
  <c r="D121"/>
  <c r="F121" s="1"/>
  <c r="F51"/>
  <c r="E82"/>
  <c r="E92"/>
  <c r="E93"/>
  <c r="F93" s="1"/>
  <c r="F92"/>
  <c r="E60"/>
  <c r="E62"/>
  <c r="E22"/>
  <c r="F23"/>
  <c r="E117"/>
  <c r="E116"/>
  <c r="E32"/>
  <c r="F116" l="1"/>
  <c r="F117"/>
  <c r="E115"/>
  <c r="F115" s="1"/>
  <c r="E33"/>
  <c r="E31" s="1"/>
  <c r="E30" s="1"/>
  <c r="E73"/>
  <c r="E114" l="1"/>
  <c r="E107" l="1"/>
  <c r="F107" s="1"/>
  <c r="F108"/>
  <c r="F60"/>
  <c r="F50" l="1"/>
  <c r="F49"/>
  <c r="E97" l="1"/>
  <c r="E27"/>
  <c r="E26" s="1"/>
  <c r="E25" s="1"/>
  <c r="D27"/>
  <c r="D28"/>
  <c r="D26"/>
  <c r="D25" s="1"/>
  <c r="F31"/>
  <c r="F33"/>
  <c r="F32"/>
  <c r="D30"/>
  <c r="D29"/>
  <c r="F24"/>
  <c r="F22"/>
  <c r="F20"/>
  <c r="F19"/>
  <c r="E18"/>
  <c r="D18"/>
  <c r="F17"/>
  <c r="E16"/>
  <c r="D16"/>
  <c r="F14"/>
  <c r="E13"/>
  <c r="F13" s="1"/>
  <c r="D10"/>
  <c r="D34" s="1"/>
  <c r="D35"/>
  <c r="F119"/>
  <c r="D123"/>
  <c r="D120"/>
  <c r="F123"/>
  <c r="F120"/>
  <c r="F118"/>
  <c r="E179"/>
  <c r="E178" s="1"/>
  <c r="D176"/>
  <c r="F179"/>
  <c r="D175"/>
  <c r="E83"/>
  <c r="E81" s="1"/>
  <c r="D59"/>
  <c r="D58" s="1"/>
  <c r="D62"/>
  <c r="F62" s="1"/>
  <c r="E61"/>
  <c r="D61"/>
  <c r="E44"/>
  <c r="E59" l="1"/>
  <c r="D15"/>
  <c r="E12"/>
  <c r="E15"/>
  <c r="F15" s="1"/>
  <c r="F18"/>
  <c r="E21"/>
  <c r="F21" s="1"/>
  <c r="F27"/>
  <c r="F25"/>
  <c r="F26"/>
  <c r="F28"/>
  <c r="F16"/>
  <c r="E176"/>
  <c r="F178"/>
  <c r="E177"/>
  <c r="F177" s="1"/>
  <c r="F61"/>
  <c r="E164"/>
  <c r="F70"/>
  <c r="E79"/>
  <c r="F79" s="1"/>
  <c r="D77"/>
  <c r="E65"/>
  <c r="E38"/>
  <c r="F12" l="1"/>
  <c r="E11"/>
  <c r="F59"/>
  <c r="E58"/>
  <c r="F58" s="1"/>
  <c r="F114"/>
  <c r="E113"/>
  <c r="E78"/>
  <c r="F78" s="1"/>
  <c r="E10"/>
  <c r="E29"/>
  <c r="F30"/>
  <c r="E175"/>
  <c r="F175" s="1"/>
  <c r="F176"/>
  <c r="E54"/>
  <c r="E128"/>
  <c r="F128" s="1"/>
  <c r="E105"/>
  <c r="E47"/>
  <c r="F46"/>
  <c r="E163"/>
  <c r="F174"/>
  <c r="E173"/>
  <c r="F173" s="1"/>
  <c r="E171"/>
  <c r="F172"/>
  <c r="F171"/>
  <c r="F170"/>
  <c r="E169"/>
  <c r="F169" s="1"/>
  <c r="F168"/>
  <c r="E167"/>
  <c r="F167" s="1"/>
  <c r="F166"/>
  <c r="F165"/>
  <c r="F164"/>
  <c r="D161"/>
  <c r="E157"/>
  <c r="F157" s="1"/>
  <c r="E159"/>
  <c r="F158"/>
  <c r="E152"/>
  <c r="E150"/>
  <c r="E147"/>
  <c r="F149"/>
  <c r="F153"/>
  <c r="F151"/>
  <c r="F148"/>
  <c r="E145"/>
  <c r="F146"/>
  <c r="F47" l="1"/>
  <c r="F113"/>
  <c r="F11"/>
  <c r="E77"/>
  <c r="F77" s="1"/>
  <c r="F105"/>
  <c r="F10"/>
  <c r="E34"/>
  <c r="F34" s="1"/>
  <c r="F29"/>
  <c r="E156"/>
  <c r="F106"/>
  <c r="E162"/>
  <c r="F162" s="1"/>
  <c r="E141"/>
  <c r="E139" s="1"/>
  <c r="E155"/>
  <c r="E127"/>
  <c r="F163"/>
  <c r="E161" l="1"/>
  <c r="F161" s="1"/>
  <c r="F127"/>
  <c r="E64"/>
  <c r="F64" s="1"/>
  <c r="E37"/>
  <c r="F65"/>
  <c r="E75"/>
  <c r="E72"/>
  <c r="F48"/>
  <c r="E63" l="1"/>
  <c r="D63"/>
  <c r="F63" l="1"/>
  <c r="F142"/>
  <c r="F145"/>
  <c r="F147"/>
  <c r="F150"/>
  <c r="F152"/>
  <c r="F141"/>
  <c r="F99"/>
  <c r="D91"/>
  <c r="D90"/>
  <c r="D89"/>
  <c r="D88"/>
  <c r="D87"/>
  <c r="F87" s="1"/>
  <c r="D86"/>
  <c r="D85"/>
  <c r="F85" s="1"/>
  <c r="F88"/>
  <c r="D81"/>
  <c r="F81" s="1"/>
  <c r="D82"/>
  <c r="F82" s="1"/>
  <c r="F89"/>
  <c r="F90"/>
  <c r="F91"/>
  <c r="F76"/>
  <c r="F75"/>
  <c r="E74"/>
  <c r="D74"/>
  <c r="E80"/>
  <c r="F73"/>
  <c r="D71"/>
  <c r="E96"/>
  <c r="F98"/>
  <c r="D96"/>
  <c r="F72"/>
  <c r="E71"/>
  <c r="D67"/>
  <c r="D154"/>
  <c r="D139"/>
  <c r="F140"/>
  <c r="E137"/>
  <c r="E136" s="1"/>
  <c r="F136" s="1"/>
  <c r="E135"/>
  <c r="F137"/>
  <c r="F135"/>
  <c r="D131"/>
  <c r="D80" l="1"/>
  <c r="E133"/>
  <c r="F133" s="1"/>
  <c r="F71"/>
  <c r="F74"/>
  <c r="D83"/>
  <c r="F83" s="1"/>
  <c r="E134"/>
  <c r="F134" s="1"/>
  <c r="F80"/>
  <c r="F86"/>
  <c r="F96"/>
  <c r="F97"/>
  <c r="E130"/>
  <c r="D124"/>
  <c r="E56"/>
  <c r="F56" s="1"/>
  <c r="E55"/>
  <c r="E53" s="1"/>
  <c r="D55"/>
  <c r="D53"/>
  <c r="D52" s="1"/>
  <c r="D66"/>
  <c r="D186"/>
  <c r="D183"/>
  <c r="D182"/>
  <c r="D138"/>
  <c r="D102"/>
  <c r="D101"/>
  <c r="D95"/>
  <c r="D94"/>
  <c r="D45"/>
  <c r="E43"/>
  <c r="E40" s="1"/>
  <c r="D42"/>
  <c r="D40"/>
  <c r="D39" s="1"/>
  <c r="D37"/>
  <c r="D36" s="1"/>
  <c r="F43"/>
  <c r="F44"/>
  <c r="F38"/>
  <c r="E132" l="1"/>
  <c r="E109"/>
  <c r="E101" s="1"/>
  <c r="E129"/>
  <c r="E125" s="1"/>
  <c r="E126"/>
  <c r="E95" s="1"/>
  <c r="E186" s="1"/>
  <c r="F54"/>
  <c r="F55"/>
  <c r="F130"/>
  <c r="E131"/>
  <c r="F132"/>
  <c r="F131" s="1"/>
  <c r="E124"/>
  <c r="F124" s="1"/>
  <c r="E52"/>
  <c r="F52" s="1"/>
  <c r="F37"/>
  <c r="E36"/>
  <c r="F36" s="1"/>
  <c r="F126" l="1"/>
  <c r="F129"/>
  <c r="F125"/>
  <c r="F53"/>
  <c r="F110" l="1"/>
  <c r="D100"/>
  <c r="F101" l="1"/>
  <c r="F109"/>
  <c r="E100"/>
  <c r="F100" l="1"/>
  <c r="F139"/>
  <c r="E138" l="1"/>
  <c r="F138" l="1"/>
  <c r="F160" l="1"/>
  <c r="F159"/>
  <c r="F102" l="1"/>
  <c r="F156"/>
  <c r="D181" l="1"/>
  <c r="D184"/>
  <c r="F185"/>
  <c r="F69"/>
  <c r="F45"/>
  <c r="F42"/>
  <c r="F182"/>
  <c r="F186"/>
  <c r="E184"/>
  <c r="F184" l="1"/>
  <c r="D180"/>
  <c r="E154" l="1"/>
  <c r="E94" s="1"/>
  <c r="E183" s="1"/>
  <c r="F155"/>
  <c r="F67"/>
  <c r="E66"/>
  <c r="F66" s="1"/>
  <c r="F95"/>
  <c r="F41"/>
  <c r="F183" l="1"/>
  <c r="E181"/>
  <c r="F181" s="1"/>
  <c r="F154"/>
  <c r="E39"/>
  <c r="F40"/>
  <c r="E35" l="1"/>
  <c r="F35" s="1"/>
  <c r="F39"/>
  <c r="F94" l="1"/>
  <c r="E180" l="1"/>
  <c r="F180" l="1"/>
</calcChain>
</file>

<file path=xl/sharedStrings.xml><?xml version="1.0" encoding="utf-8"?>
<sst xmlns="http://schemas.openxmlformats.org/spreadsheetml/2006/main" count="282" uniqueCount="179">
  <si>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</si>
  <si>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</si>
  <si>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</si>
  <si>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</si>
  <si>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</si>
  <si>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</si>
  <si>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</si>
  <si>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</si>
  <si>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</si>
  <si>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</si>
  <si>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</si>
  <si>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</si>
  <si>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</si>
  <si>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 xml:space="preserve">Проект унесення змін до показників міського бюджету на 2017 рік </t>
  </si>
  <si>
    <t xml:space="preserve">Затверджено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</si>
  <si>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</si>
  <si>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</si>
  <si>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</si>
  <si>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</si>
  <si>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</si>
  <si>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</si>
  <si>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</si>
  <si>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</si>
  <si>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</si>
  <si>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</si>
  <si>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</si>
  <si>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>Надання позашкільної освіти позашкільними закладами освіти, заходи із позашкільної роботи з дітьми</t>
  </si>
  <si>
    <t>1011090</t>
  </si>
  <si>
    <t xml:space="preserve">Методичне забезпечення діяльності навчальних закладів та інші заходи в галузі освіти </t>
  </si>
  <si>
    <t>1011170</t>
  </si>
  <si>
    <t>Охорона та раціональне використання природних ресурсів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</si>
  <si>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</si>
  <si>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</si>
  <si>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</si>
  <si>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</si>
  <si>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>О.Шовгеля</t>
  </si>
  <si>
    <t>4718370</t>
  </si>
  <si>
    <t>8370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</si>
  <si>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</si>
  <si>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 xml:space="preserve">             Додаток </t>
  </si>
  <si>
    <t>Управління культури виконкому Криворізької міської ради</t>
  </si>
  <si>
    <t>0300000</t>
  </si>
  <si>
    <t>Виконавчий комітет Криворізької міської ради</t>
  </si>
  <si>
    <t>0310000</t>
  </si>
  <si>
    <t>Доходи загального фонду разом: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</si>
  <si>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</si>
  <si>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</si>
  <si>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</si>
  <si>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</si>
  <si>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1011070</t>
  </si>
  <si>
    <t>1070</t>
  </si>
  <si>
    <t xml:space="preserve"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 </t>
  </si>
  <si>
    <t>2400000</t>
  </si>
  <si>
    <t>0317450</t>
  </si>
  <si>
    <t>7450</t>
  </si>
  <si>
    <t>Сприяння розвитку малого та середнього підприємництва</t>
  </si>
  <si>
    <t>1090</t>
  </si>
  <si>
    <t>Управління охорони  здоров'я виконкому Криворізької міської ради</t>
  </si>
  <si>
    <t>1400000</t>
  </si>
  <si>
    <t>1410000</t>
  </si>
  <si>
    <t>2010</t>
  </si>
  <si>
    <t xml:space="preserve">Багатопрофільна стаціонарна медична допомога населенню </t>
  </si>
  <si>
    <t>1412010</t>
  </si>
  <si>
    <t>2180</t>
  </si>
  <si>
    <t>1412180</t>
  </si>
  <si>
    <t>1412220</t>
  </si>
  <si>
    <t>2220</t>
  </si>
  <si>
    <t>Первинна медична допомога населенню</t>
  </si>
  <si>
    <t>Інші заходи в галузі охорони здоров’я</t>
  </si>
  <si>
    <t>2414090</t>
  </si>
  <si>
    <t>4090</t>
  </si>
  <si>
    <t>2414100</t>
  </si>
  <si>
    <t>4100</t>
  </si>
  <si>
    <t>Палаци і будинки культури, клуби та інші заклади клубного типу</t>
  </si>
  <si>
    <t>Школи естетичного виховання дітей</t>
  </si>
  <si>
    <t>Управління комунальної власності міста виконкому Криворізької міської ради</t>
  </si>
  <si>
    <t xml:space="preserve">Відділ транспорту і зв'язку виконкому Криворізької міської ради </t>
  </si>
  <si>
    <t>Фінансове управління виконкому Криворізької міської ради</t>
  </si>
  <si>
    <t>Інші видатки</t>
  </si>
  <si>
    <t>Інші додаткові дотації</t>
  </si>
  <si>
    <t>у тому числі за бюджетами районних у місті рад:</t>
  </si>
  <si>
    <t>Інгулецької</t>
  </si>
  <si>
    <t>Металургійної</t>
  </si>
  <si>
    <t>Довгинцівської</t>
  </si>
  <si>
    <t>Покровської</t>
  </si>
  <si>
    <t>Саксаганської</t>
  </si>
  <si>
    <t>Тернівської</t>
  </si>
  <si>
    <t>Центрально-Міської</t>
  </si>
  <si>
    <t>Інші заходи, пов'язані з економічною діяльністю</t>
  </si>
  <si>
    <t>Інша діяльність у сфері охорони навколишнього природного середовища</t>
  </si>
  <si>
    <t>0319140</t>
  </si>
  <si>
    <t>у тому числі видатки споживання</t>
  </si>
  <si>
    <t>Внески до статутного капіталу суб’єктів господарювання</t>
  </si>
  <si>
    <t>6517500</t>
  </si>
  <si>
    <t>3200000</t>
  </si>
  <si>
    <t>3210000</t>
  </si>
  <si>
    <t>Управління розвитку підприємництва виконкому Криворізької міської ради</t>
  </si>
  <si>
    <t>3217450</t>
  </si>
  <si>
    <t>4018800</t>
  </si>
  <si>
    <t>Утилізація відходів</t>
  </si>
  <si>
    <t>Ліквідація іншого забруднення навколишнього природного середовища</t>
  </si>
  <si>
    <t>у тому числі видатки розвитку</t>
  </si>
  <si>
    <t xml:space="preserve">у тому числі поточні видатки </t>
  </si>
  <si>
    <t>видатки розвитку</t>
  </si>
  <si>
    <t>Реалізація заходів щодо інвестиційного розвитку території</t>
  </si>
  <si>
    <t>6000000</t>
  </si>
  <si>
    <t>6010000</t>
  </si>
  <si>
    <t>Управління екології виконкому Криворізької міської ради</t>
  </si>
  <si>
    <t>6019110</t>
  </si>
  <si>
    <t>6019120</t>
  </si>
  <si>
    <t>6019130</t>
  </si>
  <si>
    <t xml:space="preserve">Централізоване ведення бухгалтерського обліку </t>
  </si>
  <si>
    <t>1011190</t>
  </si>
  <si>
    <t>Розвиток дитячо-юнацького та резервного спорту</t>
  </si>
  <si>
    <t>5030</t>
  </si>
  <si>
    <t>10115030</t>
  </si>
  <si>
    <t>Утримання та навчально-тренувальна робота комунальних дитячо-юнацьких спортивних шкіл</t>
  </si>
  <si>
    <t>10115031</t>
  </si>
  <si>
    <t>5031</t>
  </si>
  <si>
    <t xml:space="preserve">Управління економіки виконкому Криворізької міської ради </t>
  </si>
  <si>
    <t>8600</t>
  </si>
  <si>
    <t>7318600</t>
  </si>
  <si>
    <t xml:space="preserve">Забезпечення надійного та безперебійного функціонування житлово-експлуатаційного господарства </t>
  </si>
  <si>
    <t>6010</t>
  </si>
  <si>
    <t>4016010</t>
  </si>
  <si>
    <t>4018600</t>
  </si>
  <si>
    <t>6019140</t>
  </si>
  <si>
    <t>6018370</t>
  </si>
  <si>
    <t>Інші субвенції, у тому числі субвенція з міського бюджету обласному бюджету на капітальний ремонт доріг (згідно з рішенням суду)</t>
  </si>
  <si>
    <t>1500000</t>
  </si>
  <si>
    <t>1510000</t>
  </si>
  <si>
    <t>Управління праці та соціального захисту населення виконкому Криворізької міської ради</t>
  </si>
  <si>
    <t>Соціальний захист ветеранів війни та праці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</si>
  <si>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</si>
  <si>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1513200</t>
  </si>
  <si>
    <t>1513202</t>
  </si>
  <si>
    <t>7618600</t>
  </si>
  <si>
    <t>8800</t>
  </si>
  <si>
    <t>Внутрішні податки на товари та послуги</t>
  </si>
  <si>
    <t>Акцизний податок з вироблених в Україні підакцизних товарів (продукції) </t>
  </si>
  <si>
    <t>Пальне</t>
  </si>
  <si>
    <r>
      <t>14030000</t>
    </r>
    <r>
      <rPr>
        <sz val="13"/>
        <color indexed="8"/>
        <rFont val="Times New Roman"/>
        <family val="1"/>
        <charset val="204"/>
      </rPr>
      <t> </t>
    </r>
  </si>
  <si>
    <t>Акцизний податок з ввезених на митну територію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</si>
  <si>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</si>
  <si>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Місцеві податки</t>
  </si>
  <si>
    <t>Єдиний податок з фізичних осіб</t>
  </si>
  <si>
    <t>Доходи спеціального фонду разом:</t>
  </si>
  <si>
    <t xml:space="preserve">Власні надходження бюджетних установ 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</si>
  <si>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</si>
  <si>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</si>
  <si>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Плата за оренду майна бюджетних установ </t>
  </si>
  <si>
    <t>Доходи загального та спеціального фондів разом:</t>
  </si>
  <si>
    <t>Офіційні трансферти (розшифровуються за видами трансфертів та бюджетів)</t>
  </si>
  <si>
    <t xml:space="preserve">Від органів державного управління </t>
  </si>
  <si>
    <t>Субвенції</t>
  </si>
  <si>
    <t>41035200</t>
  </si>
  <si>
    <t>з них оплата праці</t>
  </si>
  <si>
    <t>комунальні послуги та енергоносії</t>
  </si>
  <si>
    <t>з них бюджет розвитку</t>
  </si>
  <si>
    <t>1513400</t>
  </si>
  <si>
    <t>3400</t>
  </si>
  <si>
    <t>Інші видатки на соціальний захист населення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</si>
  <si>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</si>
  <si>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1011040</t>
  </si>
  <si>
    <t>18050400</t>
  </si>
  <si>
    <t>18050300</t>
  </si>
  <si>
    <t>Єдиний податок з юридичних осіб</t>
  </si>
  <si>
    <r>
      <t xml:space="preserve">Субвенція за рахунок залишку коштів освітньої субвенції з державного бюджету місцевим бюджетам, що утворився на початок бюджетного періоду, </t>
    </r>
    <r>
      <rPr>
        <i/>
        <sz val="13"/>
        <rFont val="Times New Roman"/>
        <family val="1"/>
        <charset val="204"/>
      </rPr>
      <t>з них на підтримку інклюзивної освіти</t>
    </r>
  </si>
  <si>
    <t>Інші субвенції</t>
  </si>
  <si>
    <t>Інші субвенції, у тому числі 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2017 році</t>
  </si>
  <si>
    <t>у тому числі за бюджетом Довгинцівської районної у місті ради</t>
  </si>
  <si>
    <t>Інші субвенції, у тому числі субвенція з міського бюджету районним у місті бюджетам на фінансування проектів-переможців конкурсу місцевого розвитку "Громадський бюджет" у 2017 році</t>
  </si>
  <si>
    <t xml:space="preserve"> у тому числі субвенція з міського бюджету районним у місті бюджетам за рахунок субвенції з обласного бюджету на капітальні видатки та облаштування об'єктів соціально-культурної сфери  </t>
  </si>
  <si>
    <t>субвенція з міського бюджету районним у місті бюджетам на фінансування проектів-переможців конкурсу місцевого розвитку "Громадський бюджет" у 2017 році</t>
  </si>
  <si>
    <t>7500</t>
  </si>
  <si>
    <t>4017500</t>
  </si>
  <si>
    <t>1413400</t>
  </si>
  <si>
    <t>1170</t>
  </si>
  <si>
    <t xml:space="preserve">            19.04.2017 №206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</si>
</sst>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/>
    <xf numFmtId="4" fontId="8" fillId="0" borderId="6" xfId="0" applyNumberFormat="1" applyFont="1" applyFill="1" applyBorder="1" applyAlignment="1">
      <alignment horizontal="center" vertical="center"/>
    </xf>
    <xf numFmtId="4" fontId="23" fillId="0" borderId="0" xfId="0" applyNumberFormat="1" applyFont="1" applyFill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2"/>
  <sheetViews>
    <sheetView tabSelected="1" zoomScale="87" zoomScaleNormal="87" zoomScaleSheetLayoutView="89" workbookViewId="0">
      <selection activeCell="C2" sqref="C2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7" customHeight="1">
      <c r="A1" s="5"/>
      <c r="B1" s="5"/>
      <c r="C1" s="5"/>
      <c r="D1" s="53" t="s">
        <v>39</v>
      </c>
      <c r="E1" s="52"/>
      <c r="F1" s="33"/>
      <c r="G1" s="20"/>
    </row>
    <row r="2" spans="1:8" ht="22.5" customHeight="1">
      <c r="A2" s="5"/>
      <c r="B2" s="5"/>
      <c r="C2" s="5"/>
      <c r="D2" s="53" t="s">
        <v>31</v>
      </c>
      <c r="E2" s="35"/>
      <c r="F2" s="34"/>
      <c r="G2" s="21"/>
    </row>
    <row r="3" spans="1:8" ht="18.75" customHeight="1">
      <c r="A3" s="5"/>
      <c r="B3" s="5"/>
      <c r="C3" s="5"/>
      <c r="D3" s="20" t="s">
        <v>178</v>
      </c>
      <c r="E3" s="20"/>
      <c r="F3" s="21"/>
      <c r="G3" s="21"/>
    </row>
    <row r="4" spans="1:8" ht="26.25" customHeight="1">
      <c r="A4" s="110" t="s">
        <v>13</v>
      </c>
      <c r="B4" s="110"/>
      <c r="C4" s="111"/>
      <c r="D4" s="111"/>
      <c r="E4" s="111"/>
      <c r="F4" s="111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45" customHeight="1">
      <c r="A7" s="114" t="s">
        <v>21</v>
      </c>
      <c r="B7" s="114" t="s">
        <v>33</v>
      </c>
      <c r="C7" s="112" t="s">
        <v>1</v>
      </c>
      <c r="D7" s="112" t="s">
        <v>14</v>
      </c>
      <c r="E7" s="112" t="s">
        <v>3</v>
      </c>
      <c r="F7" s="112" t="s">
        <v>15</v>
      </c>
      <c r="G7" s="31"/>
    </row>
    <row r="8" spans="1:8" ht="66" customHeight="1" thickBot="1">
      <c r="A8" s="115" t="s">
        <v>2</v>
      </c>
      <c r="B8" s="115"/>
      <c r="C8" s="113"/>
      <c r="D8" s="113"/>
      <c r="E8" s="113"/>
      <c r="F8" s="113"/>
      <c r="G8" s="31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7" customHeight="1" thickBot="1">
      <c r="A10" s="11"/>
      <c r="B10" s="81"/>
      <c r="C10" s="82" t="s">
        <v>44</v>
      </c>
      <c r="D10" s="42">
        <f>5353622466+7229944+5723900+21024100</f>
        <v>5387600410</v>
      </c>
      <c r="E10" s="50">
        <f>+E11+E25</f>
        <v>57770240</v>
      </c>
      <c r="F10" s="42">
        <f>D10+E10</f>
        <v>5445370650</v>
      </c>
      <c r="G10" s="105"/>
    </row>
    <row r="11" spans="1:8" ht="25.5" customHeight="1">
      <c r="A11" s="98"/>
      <c r="B11" s="98">
        <v>10000000</v>
      </c>
      <c r="C11" s="99" t="s">
        <v>45</v>
      </c>
      <c r="D11" s="100">
        <v>2795332000</v>
      </c>
      <c r="E11" s="100">
        <f>E12+E15+E21</f>
        <v>58376003</v>
      </c>
      <c r="F11" s="100">
        <f>D11+E11</f>
        <v>2853708003</v>
      </c>
      <c r="G11" s="31"/>
    </row>
    <row r="12" spans="1:8" ht="38.25" customHeight="1">
      <c r="A12" s="66"/>
      <c r="B12" s="66">
        <v>11000000</v>
      </c>
      <c r="C12" s="48" t="s">
        <v>46</v>
      </c>
      <c r="D12" s="44">
        <v>1659900000</v>
      </c>
      <c r="E12" s="44">
        <f>E13</f>
        <v>39797503</v>
      </c>
      <c r="F12" s="44">
        <f>D12+E12</f>
        <v>1699697503</v>
      </c>
      <c r="G12" s="31"/>
    </row>
    <row r="13" spans="1:8" ht="33.75" customHeight="1">
      <c r="A13" s="97"/>
      <c r="B13" s="97">
        <v>11010000</v>
      </c>
      <c r="C13" s="47" t="s">
        <v>47</v>
      </c>
      <c r="D13" s="56">
        <v>1659000000</v>
      </c>
      <c r="E13" s="56">
        <f>E14</f>
        <v>39797503</v>
      </c>
      <c r="F13" s="56">
        <f>D13+E13</f>
        <v>1698797503</v>
      </c>
      <c r="G13" s="31"/>
    </row>
    <row r="14" spans="1:8" ht="64.5" customHeight="1">
      <c r="A14" s="97"/>
      <c r="B14" s="97">
        <v>11010100</v>
      </c>
      <c r="C14" s="47" t="s">
        <v>48</v>
      </c>
      <c r="D14" s="56">
        <v>1552140000</v>
      </c>
      <c r="E14" s="56">
        <f>32690503+357000+350000+3400000+3000000</f>
        <v>39797503</v>
      </c>
      <c r="F14" s="56">
        <f>D14+E14</f>
        <v>1591937503</v>
      </c>
      <c r="G14" s="31"/>
    </row>
    <row r="15" spans="1:8" ht="24.75" customHeight="1">
      <c r="A15" s="95"/>
      <c r="B15" s="66">
        <v>14000000</v>
      </c>
      <c r="C15" s="48" t="s">
        <v>138</v>
      </c>
      <c r="D15" s="44">
        <f>+D16+D18+D20</f>
        <v>210000000</v>
      </c>
      <c r="E15" s="44">
        <f>+E16+E18+E20</f>
        <v>0</v>
      </c>
      <c r="F15" s="44">
        <f t="shared" ref="F15:F20" si="0">D15+E15</f>
        <v>210000000</v>
      </c>
      <c r="G15" s="31"/>
    </row>
    <row r="16" spans="1:8" ht="37.5" customHeight="1">
      <c r="A16" s="95"/>
      <c r="B16" s="66">
        <v>14020000</v>
      </c>
      <c r="C16" s="48" t="s">
        <v>139</v>
      </c>
      <c r="D16" s="44">
        <f>+D17</f>
        <v>0</v>
      </c>
      <c r="E16" s="44">
        <f>+E17</f>
        <v>17000000</v>
      </c>
      <c r="F16" s="44">
        <f t="shared" si="0"/>
        <v>17000000</v>
      </c>
      <c r="G16" s="31"/>
    </row>
    <row r="17" spans="1:7" ht="18" customHeight="1">
      <c r="A17" s="66"/>
      <c r="B17" s="97">
        <v>14021900</v>
      </c>
      <c r="C17" s="47" t="s">
        <v>140</v>
      </c>
      <c r="D17" s="56">
        <v>0</v>
      </c>
      <c r="E17" s="56">
        <v>17000000</v>
      </c>
      <c r="F17" s="56">
        <f t="shared" si="0"/>
        <v>17000000</v>
      </c>
      <c r="G17" s="31"/>
    </row>
    <row r="18" spans="1:7" ht="54" customHeight="1">
      <c r="A18" s="95"/>
      <c r="B18" s="66" t="s">
        <v>141</v>
      </c>
      <c r="C18" s="48" t="s">
        <v>142</v>
      </c>
      <c r="D18" s="44">
        <f>+D19</f>
        <v>0</v>
      </c>
      <c r="E18" s="44">
        <f>+E19</f>
        <v>68000000</v>
      </c>
      <c r="F18" s="44">
        <f t="shared" si="0"/>
        <v>68000000</v>
      </c>
      <c r="G18" s="31"/>
    </row>
    <row r="19" spans="1:7" ht="24" customHeight="1">
      <c r="A19" s="66"/>
      <c r="B19" s="97">
        <v>14031900</v>
      </c>
      <c r="C19" s="47" t="s">
        <v>140</v>
      </c>
      <c r="D19" s="56">
        <v>0</v>
      </c>
      <c r="E19" s="56">
        <v>68000000</v>
      </c>
      <c r="F19" s="56">
        <f t="shared" si="0"/>
        <v>68000000</v>
      </c>
      <c r="G19" s="31"/>
    </row>
    <row r="20" spans="1:7" ht="50.25" customHeight="1">
      <c r="A20" s="95"/>
      <c r="B20" s="66">
        <v>14040000</v>
      </c>
      <c r="C20" s="48" t="s">
        <v>143</v>
      </c>
      <c r="D20" s="44">
        <v>210000000</v>
      </c>
      <c r="E20" s="44">
        <v>-85000000</v>
      </c>
      <c r="F20" s="44">
        <f t="shared" si="0"/>
        <v>125000000</v>
      </c>
      <c r="G20" s="31"/>
    </row>
    <row r="21" spans="1:7" ht="27" customHeight="1">
      <c r="A21" s="95"/>
      <c r="B21" s="66">
        <v>18000000</v>
      </c>
      <c r="C21" s="48" t="s">
        <v>144</v>
      </c>
      <c r="D21" s="44">
        <v>925414000</v>
      </c>
      <c r="E21" s="44">
        <f>+E22</f>
        <v>18578500</v>
      </c>
      <c r="F21" s="44">
        <f>+D21+E21</f>
        <v>943992500</v>
      </c>
      <c r="G21" s="31"/>
    </row>
    <row r="22" spans="1:7" ht="28.5" customHeight="1">
      <c r="A22" s="96"/>
      <c r="B22" s="97">
        <v>18050000</v>
      </c>
      <c r="C22" s="48" t="s">
        <v>145</v>
      </c>
      <c r="D22" s="56">
        <v>14812100</v>
      </c>
      <c r="E22" s="56">
        <f>+E24+E23</f>
        <v>18578500</v>
      </c>
      <c r="F22" s="56">
        <f>+D22+E22</f>
        <v>33390600</v>
      </c>
      <c r="G22" s="31"/>
    </row>
    <row r="23" spans="1:7" ht="28.5" customHeight="1">
      <c r="A23" s="96"/>
      <c r="B23" s="97" t="s">
        <v>165</v>
      </c>
      <c r="C23" s="47" t="s">
        <v>166</v>
      </c>
      <c r="D23" s="56">
        <v>4451400</v>
      </c>
      <c r="E23" s="56">
        <v>4888700</v>
      </c>
      <c r="F23" s="56">
        <f>D23+E23</f>
        <v>9340100</v>
      </c>
      <c r="G23" s="31"/>
    </row>
    <row r="24" spans="1:7" ht="25.5" customHeight="1">
      <c r="A24" s="66"/>
      <c r="B24" s="97" t="s">
        <v>164</v>
      </c>
      <c r="C24" s="47" t="s">
        <v>145</v>
      </c>
      <c r="D24" s="56">
        <v>10360700</v>
      </c>
      <c r="E24" s="56">
        <v>13689800</v>
      </c>
      <c r="F24" s="56">
        <f>+D24+E24</f>
        <v>24050500</v>
      </c>
      <c r="G24" s="31"/>
    </row>
    <row r="25" spans="1:7" ht="55.5" customHeight="1">
      <c r="A25" s="95"/>
      <c r="B25" s="98">
        <v>40000000</v>
      </c>
      <c r="C25" s="99" t="s">
        <v>152</v>
      </c>
      <c r="D25" s="100">
        <f>D26</f>
        <v>2543644311</v>
      </c>
      <c r="E25" s="100">
        <f>E26</f>
        <v>-605763</v>
      </c>
      <c r="F25" s="100">
        <f>+D25+E25</f>
        <v>2543038548</v>
      </c>
      <c r="G25" s="31"/>
    </row>
    <row r="26" spans="1:7" ht="26.25" customHeight="1">
      <c r="A26" s="95"/>
      <c r="B26" s="102">
        <v>41000000</v>
      </c>
      <c r="C26" s="103" t="s">
        <v>153</v>
      </c>
      <c r="D26" s="104">
        <f>D27</f>
        <v>2543644311</v>
      </c>
      <c r="E26" s="104">
        <f>E27</f>
        <v>-605763</v>
      </c>
      <c r="F26" s="104">
        <f t="shared" ref="F26:F28" si="1">+D26+E26</f>
        <v>2543038548</v>
      </c>
      <c r="G26" s="31"/>
    </row>
    <row r="27" spans="1:7" ht="30.75" customHeight="1">
      <c r="A27" s="95"/>
      <c r="B27" s="74">
        <v>41030000</v>
      </c>
      <c r="C27" s="77" t="s">
        <v>154</v>
      </c>
      <c r="D27" s="75">
        <f>2507655604+2010763+7229944+26748000</f>
        <v>2543644311</v>
      </c>
      <c r="E27" s="75">
        <f>E28</f>
        <v>-605763</v>
      </c>
      <c r="F27" s="75">
        <f>D27+E27</f>
        <v>2543038548</v>
      </c>
      <c r="G27" s="31"/>
    </row>
    <row r="28" spans="1:7" ht="84.75" customHeight="1" thickBot="1">
      <c r="A28" s="95"/>
      <c r="B28" s="66" t="s">
        <v>155</v>
      </c>
      <c r="C28" s="48" t="s">
        <v>167</v>
      </c>
      <c r="D28" s="44">
        <f>1730763</f>
        <v>1730763</v>
      </c>
      <c r="E28" s="44">
        <f>-605763</f>
        <v>-605763</v>
      </c>
      <c r="F28" s="44">
        <f t="shared" si="1"/>
        <v>1125000</v>
      </c>
      <c r="G28" s="31"/>
    </row>
    <row r="29" spans="1:7" ht="29.25" customHeight="1" thickBot="1">
      <c r="A29" s="11"/>
      <c r="B29" s="81"/>
      <c r="C29" s="82" t="s">
        <v>146</v>
      </c>
      <c r="D29" s="42">
        <f>184360586</f>
        <v>184360586</v>
      </c>
      <c r="E29" s="50">
        <f>E30</f>
        <v>1424144</v>
      </c>
      <c r="F29" s="42">
        <f t="shared" ref="F29:F33" si="2">D29+E29</f>
        <v>185784730</v>
      </c>
      <c r="G29" s="31"/>
    </row>
    <row r="30" spans="1:7" ht="44.25" customHeight="1">
      <c r="A30" s="83"/>
      <c r="B30" s="98">
        <v>25000000</v>
      </c>
      <c r="C30" s="99" t="s">
        <v>147</v>
      </c>
      <c r="D30" s="100">
        <f>112420586</f>
        <v>112420586</v>
      </c>
      <c r="E30" s="100">
        <f>E31</f>
        <v>1424144</v>
      </c>
      <c r="F30" s="100">
        <f t="shared" si="2"/>
        <v>113844730</v>
      </c>
      <c r="G30" s="31"/>
    </row>
    <row r="31" spans="1:7" ht="51.75" customHeight="1">
      <c r="A31" s="95"/>
      <c r="B31" s="66">
        <v>25010000</v>
      </c>
      <c r="C31" s="48" t="s">
        <v>148</v>
      </c>
      <c r="D31" s="44">
        <v>110865386</v>
      </c>
      <c r="E31" s="44">
        <f>SUM(E32:E33)</f>
        <v>1424144</v>
      </c>
      <c r="F31" s="44">
        <f t="shared" si="2"/>
        <v>112289530</v>
      </c>
      <c r="G31" s="31"/>
    </row>
    <row r="32" spans="1:7" ht="48.75" customHeight="1">
      <c r="A32" s="96"/>
      <c r="B32" s="97">
        <v>25010100</v>
      </c>
      <c r="C32" s="47" t="s">
        <v>149</v>
      </c>
      <c r="D32" s="56">
        <v>73716491</v>
      </c>
      <c r="E32" s="56">
        <f>1010145+446</f>
        <v>1010591</v>
      </c>
      <c r="F32" s="56">
        <f t="shared" si="2"/>
        <v>74727082</v>
      </c>
      <c r="G32" s="31"/>
    </row>
    <row r="33" spans="1:9" ht="38.25" customHeight="1" thickBot="1">
      <c r="A33" s="101"/>
      <c r="B33" s="97">
        <v>25010300</v>
      </c>
      <c r="C33" s="47" t="s">
        <v>150</v>
      </c>
      <c r="D33" s="56">
        <v>5407811</v>
      </c>
      <c r="E33" s="56">
        <f>413553</f>
        <v>413553</v>
      </c>
      <c r="F33" s="56">
        <f t="shared" si="2"/>
        <v>5821364</v>
      </c>
      <c r="G33" s="31"/>
    </row>
    <row r="34" spans="1:9" ht="36.75" customHeight="1" thickBot="1">
      <c r="A34" s="11"/>
      <c r="B34" s="11"/>
      <c r="C34" s="36" t="s">
        <v>151</v>
      </c>
      <c r="D34" s="42">
        <f>D10+D29</f>
        <v>5571960996</v>
      </c>
      <c r="E34" s="42">
        <f>E10+E29</f>
        <v>59194384</v>
      </c>
      <c r="F34" s="42">
        <f t="shared" ref="F34" si="3">D34+E34</f>
        <v>5631155380</v>
      </c>
      <c r="G34" s="31"/>
    </row>
    <row r="35" spans="1:9" ht="40.5" customHeight="1" thickBot="1">
      <c r="A35" s="11"/>
      <c r="B35" s="62"/>
      <c r="C35" s="36" t="s">
        <v>8</v>
      </c>
      <c r="D35" s="50">
        <f>349433+1855763+5145155330.48+7229944+26748000</f>
        <v>5181338470.4799995</v>
      </c>
      <c r="E35" s="42">
        <f>E36+E39++E52+E58+E63+E66+E71+E74+E77+E80</f>
        <v>27216133</v>
      </c>
      <c r="F35" s="50">
        <f t="shared" ref="F35:F40" si="4">D35+E35</f>
        <v>5208554603.4799995</v>
      </c>
      <c r="G35" s="55"/>
      <c r="H35" s="2"/>
    </row>
    <row r="36" spans="1:9" ht="40.5" customHeight="1">
      <c r="A36" s="69" t="s">
        <v>41</v>
      </c>
      <c r="B36" s="49"/>
      <c r="C36" s="49" t="s">
        <v>42</v>
      </c>
      <c r="D36" s="29">
        <f>D37</f>
        <v>132546654</v>
      </c>
      <c r="E36" s="29">
        <f>E37</f>
        <v>-1074644</v>
      </c>
      <c r="F36" s="29">
        <f t="shared" si="4"/>
        <v>131472010</v>
      </c>
      <c r="G36" s="55"/>
      <c r="H36" s="2"/>
    </row>
    <row r="37" spans="1:9" ht="40.5" customHeight="1">
      <c r="A37" s="69" t="s">
        <v>43</v>
      </c>
      <c r="B37" s="49"/>
      <c r="C37" s="49" t="s">
        <v>42</v>
      </c>
      <c r="D37" s="29">
        <f>132546654</f>
        <v>132546654</v>
      </c>
      <c r="E37" s="29">
        <f>E38</f>
        <v>-1074644</v>
      </c>
      <c r="F37" s="29">
        <f t="shared" si="4"/>
        <v>131472010</v>
      </c>
      <c r="G37" s="55"/>
      <c r="H37" s="2"/>
    </row>
    <row r="38" spans="1:9" ht="41.25" customHeight="1">
      <c r="A38" s="66" t="s">
        <v>53</v>
      </c>
      <c r="B38" s="66" t="s">
        <v>54</v>
      </c>
      <c r="C38" s="48" t="s">
        <v>55</v>
      </c>
      <c r="D38" s="44">
        <v>1224144</v>
      </c>
      <c r="E38" s="44">
        <f>-1074644</f>
        <v>-1074644</v>
      </c>
      <c r="F38" s="44">
        <f>D38+E38</f>
        <v>149500</v>
      </c>
      <c r="G38" s="55"/>
      <c r="H38" s="2"/>
    </row>
    <row r="39" spans="1:9" ht="36.75" customHeight="1">
      <c r="A39" s="69" t="s">
        <v>19</v>
      </c>
      <c r="B39" s="49"/>
      <c r="C39" s="49" t="s">
        <v>18</v>
      </c>
      <c r="D39" s="29">
        <f>D40</f>
        <v>1630183876</v>
      </c>
      <c r="E39" s="29">
        <f>E40</f>
        <v>44556167</v>
      </c>
      <c r="F39" s="29">
        <f t="shared" si="4"/>
        <v>1674740043</v>
      </c>
      <c r="G39" s="7"/>
      <c r="H39" s="2"/>
    </row>
    <row r="40" spans="1:9" ht="36" customHeight="1">
      <c r="A40" s="69" t="s">
        <v>20</v>
      </c>
      <c r="B40" s="49"/>
      <c r="C40" s="49" t="s">
        <v>18</v>
      </c>
      <c r="D40" s="29">
        <f>1628453113+1730763</f>
        <v>1630183876</v>
      </c>
      <c r="E40" s="29">
        <f>E41+E42+E43+E44+E45+E46+E47+E51</f>
        <v>44556167</v>
      </c>
      <c r="F40" s="29">
        <f t="shared" si="4"/>
        <v>1674740043</v>
      </c>
      <c r="G40" s="72"/>
      <c r="H40" s="2"/>
    </row>
    <row r="41" spans="1:9" ht="25.5" customHeight="1">
      <c r="A41" s="66" t="s">
        <v>24</v>
      </c>
      <c r="B41" s="66">
        <v>1010</v>
      </c>
      <c r="C41" s="48" t="s">
        <v>22</v>
      </c>
      <c r="D41" s="44">
        <v>556610610</v>
      </c>
      <c r="E41" s="44">
        <f>354000+30000+300000-660492+54400</f>
        <v>77908</v>
      </c>
      <c r="F41" s="44">
        <f t="shared" ref="F41:F64" si="5">D41+E41</f>
        <v>556688518</v>
      </c>
      <c r="G41" s="7"/>
      <c r="H41" s="7"/>
    </row>
    <row r="42" spans="1:9" ht="102" customHeight="1">
      <c r="A42" s="66" t="s">
        <v>25</v>
      </c>
      <c r="B42" s="66">
        <v>1020</v>
      </c>
      <c r="C42" s="48" t="s">
        <v>23</v>
      </c>
      <c r="D42" s="44">
        <f>855027938+1730763</f>
        <v>856758701</v>
      </c>
      <c r="E42" s="44">
        <f>466000+30000+10000+10000-605763+15000+660492+169200</f>
        <v>754929</v>
      </c>
      <c r="F42" s="44">
        <f t="shared" si="5"/>
        <v>857513630</v>
      </c>
      <c r="G42" s="7"/>
      <c r="H42" s="7"/>
      <c r="I42" s="7"/>
    </row>
    <row r="43" spans="1:9" ht="96.75" customHeight="1">
      <c r="A43" s="66" t="s">
        <v>49</v>
      </c>
      <c r="B43" s="66" t="s">
        <v>50</v>
      </c>
      <c r="C43" s="48" t="s">
        <v>51</v>
      </c>
      <c r="D43" s="44">
        <v>9680086</v>
      </c>
      <c r="E43" s="44">
        <f>-400000</f>
        <v>-400000</v>
      </c>
      <c r="F43" s="44">
        <f t="shared" ref="F43" si="6">D43+E43</f>
        <v>9280086</v>
      </c>
      <c r="G43" s="55"/>
      <c r="H43" s="2"/>
    </row>
    <row r="44" spans="1:9" ht="52.5" customHeight="1">
      <c r="A44" s="66" t="s">
        <v>27</v>
      </c>
      <c r="B44" s="66">
        <v>1090</v>
      </c>
      <c r="C44" s="48" t="s">
        <v>26</v>
      </c>
      <c r="D44" s="44">
        <v>88115264</v>
      </c>
      <c r="E44" s="44">
        <f>80000+421130+50000+30000</f>
        <v>581130</v>
      </c>
      <c r="F44" s="44">
        <f t="shared" si="5"/>
        <v>88696394</v>
      </c>
      <c r="G44" s="7"/>
      <c r="H44" s="7"/>
    </row>
    <row r="45" spans="1:9" ht="52.5" customHeight="1">
      <c r="A45" s="66" t="s">
        <v>29</v>
      </c>
      <c r="B45" s="66">
        <v>1170</v>
      </c>
      <c r="C45" s="48" t="s">
        <v>28</v>
      </c>
      <c r="D45" s="44">
        <f>41798431</f>
        <v>41798431</v>
      </c>
      <c r="E45" s="44">
        <f>200000+57200+1952100</f>
        <v>2209300</v>
      </c>
      <c r="F45" s="44">
        <f t="shared" si="5"/>
        <v>44007731</v>
      </c>
      <c r="G45" s="55"/>
      <c r="H45" s="2"/>
    </row>
    <row r="46" spans="1:9" ht="39" customHeight="1">
      <c r="A46" s="66" t="s">
        <v>112</v>
      </c>
      <c r="B46" s="66">
        <v>1190</v>
      </c>
      <c r="C46" s="48" t="s">
        <v>111</v>
      </c>
      <c r="D46" s="75">
        <v>23901555</v>
      </c>
      <c r="E46" s="75">
        <v>142800</v>
      </c>
      <c r="F46" s="44">
        <f t="shared" si="5"/>
        <v>24044355</v>
      </c>
      <c r="G46" s="55"/>
      <c r="H46" s="2"/>
    </row>
    <row r="47" spans="1:9" ht="39" customHeight="1">
      <c r="A47" s="76" t="s">
        <v>115</v>
      </c>
      <c r="B47" s="74" t="s">
        <v>114</v>
      </c>
      <c r="C47" s="77" t="s">
        <v>113</v>
      </c>
      <c r="D47" s="75">
        <v>0</v>
      </c>
      <c r="E47" s="75">
        <f>E48</f>
        <v>41200100</v>
      </c>
      <c r="F47" s="44">
        <f t="shared" si="5"/>
        <v>41200100</v>
      </c>
      <c r="G47" s="55"/>
      <c r="H47" s="2"/>
    </row>
    <row r="48" spans="1:9" ht="52.5" customHeight="1">
      <c r="A48" s="94" t="s">
        <v>117</v>
      </c>
      <c r="B48" s="78" t="s">
        <v>118</v>
      </c>
      <c r="C48" s="79" t="s">
        <v>116</v>
      </c>
      <c r="D48" s="80">
        <v>0</v>
      </c>
      <c r="E48" s="80">
        <f>41200100</f>
        <v>41200100</v>
      </c>
      <c r="F48" s="56">
        <f t="shared" si="5"/>
        <v>41200100</v>
      </c>
      <c r="G48" s="55"/>
      <c r="H48" s="2"/>
    </row>
    <row r="49" spans="1:8" ht="23.25" customHeight="1">
      <c r="A49" s="94"/>
      <c r="B49" s="78"/>
      <c r="C49" s="47" t="s">
        <v>156</v>
      </c>
      <c r="D49" s="56">
        <v>0</v>
      </c>
      <c r="E49" s="56">
        <v>21463890</v>
      </c>
      <c r="F49" s="56">
        <f>D49+E49</f>
        <v>21463890</v>
      </c>
      <c r="G49" s="55"/>
      <c r="H49" s="2"/>
    </row>
    <row r="50" spans="1:8" ht="23.25" customHeight="1">
      <c r="A50" s="94"/>
      <c r="B50" s="78"/>
      <c r="C50" s="47" t="s">
        <v>157</v>
      </c>
      <c r="D50" s="56">
        <v>0</v>
      </c>
      <c r="E50" s="56">
        <v>12272827</v>
      </c>
      <c r="F50" s="56">
        <f>D50+E50</f>
        <v>12272827</v>
      </c>
      <c r="G50" s="55"/>
      <c r="H50" s="2"/>
    </row>
    <row r="51" spans="1:8" ht="90.75" customHeight="1">
      <c r="A51" s="76">
        <v>1018800</v>
      </c>
      <c r="B51" s="74">
        <v>8800</v>
      </c>
      <c r="C51" s="77" t="s">
        <v>171</v>
      </c>
      <c r="D51" s="75">
        <v>10000</v>
      </c>
      <c r="E51" s="75">
        <v>-10000</v>
      </c>
      <c r="F51" s="44">
        <f>D51+E51</f>
        <v>0</v>
      </c>
      <c r="G51" s="55"/>
      <c r="H51" s="2"/>
    </row>
    <row r="52" spans="1:8" ht="41.25" customHeight="1">
      <c r="A52" s="69" t="s">
        <v>58</v>
      </c>
      <c r="B52" s="49"/>
      <c r="C52" s="49" t="s">
        <v>57</v>
      </c>
      <c r="D52" s="29">
        <f>D53</f>
        <v>730127639.48000002</v>
      </c>
      <c r="E52" s="29">
        <f>E53</f>
        <v>9891800</v>
      </c>
      <c r="F52" s="29">
        <f t="shared" si="5"/>
        <v>740019439.48000002</v>
      </c>
      <c r="G52" s="55"/>
      <c r="H52" s="2"/>
    </row>
    <row r="53" spans="1:8" ht="36.75" customHeight="1">
      <c r="A53" s="69" t="s">
        <v>59</v>
      </c>
      <c r="B53" s="49"/>
      <c r="C53" s="49" t="s">
        <v>57</v>
      </c>
      <c r="D53" s="29">
        <f>722897695.48+7229944</f>
        <v>730127639.48000002</v>
      </c>
      <c r="E53" s="29">
        <f>SUM(E54:E57)</f>
        <v>9891800</v>
      </c>
      <c r="F53" s="29">
        <f t="shared" si="5"/>
        <v>740019439.48000002</v>
      </c>
      <c r="G53" s="55"/>
      <c r="H53" s="2"/>
    </row>
    <row r="54" spans="1:8" ht="39" customHeight="1">
      <c r="A54" s="76" t="s">
        <v>62</v>
      </c>
      <c r="B54" s="74" t="s">
        <v>60</v>
      </c>
      <c r="C54" s="77" t="s">
        <v>61</v>
      </c>
      <c r="D54" s="75">
        <v>432586540</v>
      </c>
      <c r="E54" s="75">
        <f>4356200+3600</f>
        <v>4359800</v>
      </c>
      <c r="F54" s="44">
        <f t="shared" si="5"/>
        <v>436946340</v>
      </c>
      <c r="G54" s="7"/>
      <c r="H54" s="7"/>
    </row>
    <row r="55" spans="1:8" ht="33" customHeight="1">
      <c r="A55" s="76" t="s">
        <v>64</v>
      </c>
      <c r="B55" s="74" t="s">
        <v>63</v>
      </c>
      <c r="C55" s="77" t="s">
        <v>67</v>
      </c>
      <c r="D55" s="75">
        <f>192852917.48+7229944</f>
        <v>200082861.47999999</v>
      </c>
      <c r="E55" s="75">
        <f>12000</f>
        <v>12000</v>
      </c>
      <c r="F55" s="44">
        <f t="shared" si="5"/>
        <v>200094861.47999999</v>
      </c>
      <c r="G55" s="55"/>
      <c r="H55" s="2"/>
    </row>
    <row r="56" spans="1:8" ht="31.5" customHeight="1">
      <c r="A56" s="76" t="s">
        <v>65</v>
      </c>
      <c r="B56" s="74" t="s">
        <v>66</v>
      </c>
      <c r="C56" s="77" t="s">
        <v>68</v>
      </c>
      <c r="D56" s="75">
        <v>0</v>
      </c>
      <c r="E56" s="75">
        <f>5163000</f>
        <v>5163000</v>
      </c>
      <c r="F56" s="44">
        <f t="shared" si="5"/>
        <v>5163000</v>
      </c>
      <c r="G56" s="55"/>
      <c r="H56" s="2"/>
    </row>
    <row r="57" spans="1:8" ht="33.75" customHeight="1">
      <c r="A57" s="76" t="s">
        <v>176</v>
      </c>
      <c r="B57" s="74" t="s">
        <v>160</v>
      </c>
      <c r="C57" s="77" t="s">
        <v>161</v>
      </c>
      <c r="D57" s="75">
        <v>0</v>
      </c>
      <c r="E57" s="75">
        <v>357000</v>
      </c>
      <c r="F57" s="44">
        <f t="shared" si="5"/>
        <v>357000</v>
      </c>
      <c r="G57" s="55"/>
      <c r="H57" s="2"/>
    </row>
    <row r="58" spans="1:8" ht="56.25" customHeight="1">
      <c r="A58" s="69" t="s">
        <v>129</v>
      </c>
      <c r="B58" s="49"/>
      <c r="C58" s="49" t="s">
        <v>131</v>
      </c>
      <c r="D58" s="29">
        <f>D59</f>
        <v>749871831.48000002</v>
      </c>
      <c r="E58" s="29">
        <f>E59</f>
        <v>196000</v>
      </c>
      <c r="F58" s="29">
        <f t="shared" ref="F58:F62" si="7">D58+E58</f>
        <v>750067831.48000002</v>
      </c>
      <c r="G58" s="55"/>
      <c r="H58" s="2"/>
    </row>
    <row r="59" spans="1:8" ht="54.75" customHeight="1">
      <c r="A59" s="69" t="s">
        <v>130</v>
      </c>
      <c r="B59" s="49"/>
      <c r="C59" s="49" t="s">
        <v>131</v>
      </c>
      <c r="D59" s="29">
        <f>722897695.48+226136+26748000</f>
        <v>749871831.48000002</v>
      </c>
      <c r="E59" s="29">
        <f>SUM(E60:E61)</f>
        <v>196000</v>
      </c>
      <c r="F59" s="29">
        <f t="shared" si="7"/>
        <v>750067831.48000002</v>
      </c>
      <c r="G59" s="7"/>
      <c r="H59" s="2"/>
    </row>
    <row r="60" spans="1:8" ht="33" customHeight="1">
      <c r="A60" s="76" t="s">
        <v>159</v>
      </c>
      <c r="B60" s="74" t="s">
        <v>160</v>
      </c>
      <c r="C60" s="77" t="s">
        <v>161</v>
      </c>
      <c r="D60" s="75">
        <v>35974057</v>
      </c>
      <c r="E60" s="75">
        <f>65000+26000+55000+30000</f>
        <v>176000</v>
      </c>
      <c r="F60" s="44">
        <f t="shared" ref="F60" si="8">D60+E60</f>
        <v>36150057</v>
      </c>
      <c r="G60" s="7"/>
      <c r="H60" s="2"/>
    </row>
    <row r="61" spans="1:8" ht="29.25" customHeight="1">
      <c r="A61" s="76" t="s">
        <v>134</v>
      </c>
      <c r="B61" s="74">
        <v>3200</v>
      </c>
      <c r="C61" s="77" t="s">
        <v>132</v>
      </c>
      <c r="D61" s="75">
        <f>D62</f>
        <v>1102677</v>
      </c>
      <c r="E61" s="75">
        <f>E62</f>
        <v>20000</v>
      </c>
      <c r="F61" s="44">
        <f t="shared" si="7"/>
        <v>1122677</v>
      </c>
      <c r="G61" s="55"/>
      <c r="H61" s="2"/>
    </row>
    <row r="62" spans="1:8" ht="72.75" customHeight="1">
      <c r="A62" s="94" t="s">
        <v>135</v>
      </c>
      <c r="B62" s="78">
        <v>3202</v>
      </c>
      <c r="C62" s="79" t="s">
        <v>133</v>
      </c>
      <c r="D62" s="80">
        <f>1022677+80000</f>
        <v>1102677</v>
      </c>
      <c r="E62" s="80">
        <f>15000+5000</f>
        <v>20000</v>
      </c>
      <c r="F62" s="56">
        <f t="shared" si="7"/>
        <v>1122677</v>
      </c>
      <c r="G62" s="55"/>
      <c r="H62" s="2"/>
    </row>
    <row r="63" spans="1:8" ht="54.75" customHeight="1">
      <c r="A63" s="69" t="s">
        <v>94</v>
      </c>
      <c r="B63" s="49"/>
      <c r="C63" s="49" t="s">
        <v>96</v>
      </c>
      <c r="D63" s="29">
        <f>D64</f>
        <v>0</v>
      </c>
      <c r="E63" s="29">
        <f>E64</f>
        <v>1074644</v>
      </c>
      <c r="F63" s="29">
        <f t="shared" si="5"/>
        <v>1074644</v>
      </c>
      <c r="G63" s="55"/>
      <c r="H63" s="2"/>
    </row>
    <row r="64" spans="1:8" ht="57.75" customHeight="1">
      <c r="A64" s="69" t="s">
        <v>95</v>
      </c>
      <c r="B64" s="49"/>
      <c r="C64" s="49" t="s">
        <v>96</v>
      </c>
      <c r="D64" s="29">
        <v>0</v>
      </c>
      <c r="E64" s="29">
        <f>E65</f>
        <v>1074644</v>
      </c>
      <c r="F64" s="29">
        <f t="shared" si="5"/>
        <v>1074644</v>
      </c>
      <c r="G64" s="55"/>
      <c r="H64" s="2"/>
    </row>
    <row r="65" spans="1:9" ht="33.75" customHeight="1">
      <c r="A65" s="66" t="s">
        <v>97</v>
      </c>
      <c r="B65" s="66" t="s">
        <v>54</v>
      </c>
      <c r="C65" s="48" t="s">
        <v>55</v>
      </c>
      <c r="D65" s="44">
        <v>0</v>
      </c>
      <c r="E65" s="44">
        <f>1074644</f>
        <v>1074644</v>
      </c>
      <c r="F65" s="44">
        <f>D65+E65</f>
        <v>1074644</v>
      </c>
      <c r="G65" s="55"/>
      <c r="H65" s="2"/>
    </row>
    <row r="66" spans="1:9" ht="55.5" customHeight="1">
      <c r="A66" s="69">
        <v>4000000</v>
      </c>
      <c r="B66" s="49"/>
      <c r="C66" s="49" t="s">
        <v>7</v>
      </c>
      <c r="D66" s="29">
        <f>D67</f>
        <v>565940451</v>
      </c>
      <c r="E66" s="29">
        <f>E67</f>
        <v>350000</v>
      </c>
      <c r="F66" s="29">
        <f t="shared" ref="F66:F140" si="9">D66+E66</f>
        <v>566290451</v>
      </c>
      <c r="G66" s="55"/>
      <c r="H66" s="2"/>
    </row>
    <row r="67" spans="1:9" ht="55.5" customHeight="1">
      <c r="A67" s="69">
        <v>4010000</v>
      </c>
      <c r="B67" s="49"/>
      <c r="C67" s="49" t="s">
        <v>7</v>
      </c>
      <c r="D67" s="29">
        <f>566109651-169200</f>
        <v>565940451</v>
      </c>
      <c r="E67" s="29">
        <f>E68+E69+E70</f>
        <v>350000</v>
      </c>
      <c r="F67" s="29">
        <f t="shared" si="9"/>
        <v>566290451</v>
      </c>
      <c r="G67" s="7"/>
      <c r="H67" s="2"/>
      <c r="I67" s="73"/>
    </row>
    <row r="68" spans="1:9" ht="39.75" customHeight="1">
      <c r="A68" s="66">
        <v>4017500</v>
      </c>
      <c r="B68" s="66">
        <v>7500</v>
      </c>
      <c r="C68" s="48" t="s">
        <v>88</v>
      </c>
      <c r="D68" s="44">
        <v>5048608</v>
      </c>
      <c r="E68" s="44">
        <f>350000</f>
        <v>350000</v>
      </c>
      <c r="F68" s="44">
        <f t="shared" ref="F68" si="10">D68+E68</f>
        <v>5398608</v>
      </c>
      <c r="G68" s="7"/>
      <c r="H68" s="2"/>
      <c r="I68" s="73"/>
    </row>
    <row r="69" spans="1:9" ht="48.75" customHeight="1">
      <c r="A69" s="66" t="s">
        <v>124</v>
      </c>
      <c r="B69" s="66" t="s">
        <v>123</v>
      </c>
      <c r="C69" s="48" t="s">
        <v>122</v>
      </c>
      <c r="D69" s="44">
        <v>1614514</v>
      </c>
      <c r="E69" s="44">
        <v>-105000</v>
      </c>
      <c r="F69" s="44">
        <f t="shared" si="9"/>
        <v>1509514</v>
      </c>
      <c r="G69" s="55"/>
      <c r="H69" s="2"/>
    </row>
    <row r="70" spans="1:9" ht="26.25" customHeight="1">
      <c r="A70" s="66" t="s">
        <v>125</v>
      </c>
      <c r="B70" s="66" t="s">
        <v>120</v>
      </c>
      <c r="C70" s="48" t="s">
        <v>78</v>
      </c>
      <c r="D70" s="44">
        <v>857200</v>
      </c>
      <c r="E70" s="44">
        <v>105000</v>
      </c>
      <c r="F70" s="44">
        <f t="shared" si="9"/>
        <v>962200</v>
      </c>
      <c r="G70" s="55"/>
      <c r="H70" s="2"/>
    </row>
    <row r="71" spans="1:9" ht="54" customHeight="1">
      <c r="A71" s="69">
        <v>4500000</v>
      </c>
      <c r="B71" s="49"/>
      <c r="C71" s="49" t="s">
        <v>75</v>
      </c>
      <c r="D71" s="29">
        <f>D72</f>
        <v>285100</v>
      </c>
      <c r="E71" s="29">
        <f>E72</f>
        <v>2243101</v>
      </c>
      <c r="F71" s="29">
        <f t="shared" ref="F71:F73" si="11">D71+E71</f>
        <v>2528201</v>
      </c>
      <c r="G71" s="7"/>
      <c r="H71" s="2"/>
    </row>
    <row r="72" spans="1:9" ht="54.75" customHeight="1">
      <c r="A72" s="69">
        <v>4510000</v>
      </c>
      <c r="B72" s="49"/>
      <c r="C72" s="49" t="s">
        <v>75</v>
      </c>
      <c r="D72" s="29">
        <v>285100</v>
      </c>
      <c r="E72" s="29">
        <f>E73</f>
        <v>2243101</v>
      </c>
      <c r="F72" s="29">
        <f t="shared" si="11"/>
        <v>2528201</v>
      </c>
      <c r="G72" s="7"/>
      <c r="H72" s="2"/>
    </row>
    <row r="73" spans="1:9" ht="30.75" customHeight="1">
      <c r="A73" s="76">
        <v>4517500</v>
      </c>
      <c r="B73" s="74">
        <v>7500</v>
      </c>
      <c r="C73" s="48" t="s">
        <v>88</v>
      </c>
      <c r="D73" s="44">
        <v>39000</v>
      </c>
      <c r="E73" s="44">
        <f>80000+2163101</f>
        <v>2243101</v>
      </c>
      <c r="F73" s="44">
        <f t="shared" si="11"/>
        <v>2282101</v>
      </c>
      <c r="G73" s="7"/>
      <c r="H73" s="2"/>
    </row>
    <row r="74" spans="1:9" ht="43.5" hidden="1" customHeight="1">
      <c r="A74" s="88">
        <v>6500000</v>
      </c>
      <c r="B74" s="49"/>
      <c r="C74" s="49" t="s">
        <v>76</v>
      </c>
      <c r="D74" s="29">
        <f>D75</f>
        <v>10183100</v>
      </c>
      <c r="E74" s="29">
        <f>E75</f>
        <v>0</v>
      </c>
      <c r="F74" s="29">
        <f t="shared" ref="F74:F79" si="12">D74+E74</f>
        <v>10183100</v>
      </c>
      <c r="G74" s="7"/>
      <c r="H74" s="2"/>
    </row>
    <row r="75" spans="1:9" ht="38.25" hidden="1" customHeight="1">
      <c r="A75" s="88">
        <v>6510000</v>
      </c>
      <c r="B75" s="49"/>
      <c r="C75" s="49" t="s">
        <v>76</v>
      </c>
      <c r="D75" s="29">
        <v>10183100</v>
      </c>
      <c r="E75" s="29">
        <f>E76</f>
        <v>0</v>
      </c>
      <c r="F75" s="29">
        <f t="shared" si="12"/>
        <v>10183100</v>
      </c>
      <c r="G75" s="7"/>
      <c r="H75" s="2"/>
    </row>
    <row r="76" spans="1:9" ht="33.75" hidden="1" customHeight="1">
      <c r="A76" s="76" t="s">
        <v>93</v>
      </c>
      <c r="B76" s="74">
        <v>7500</v>
      </c>
      <c r="C76" s="48" t="s">
        <v>88</v>
      </c>
      <c r="D76" s="44">
        <v>0</v>
      </c>
      <c r="E76" s="93"/>
      <c r="F76" s="44">
        <f t="shared" si="12"/>
        <v>0</v>
      </c>
      <c r="G76" s="7"/>
      <c r="H76" s="2"/>
    </row>
    <row r="77" spans="1:9" ht="36" customHeight="1">
      <c r="A77" s="88">
        <v>7300000</v>
      </c>
      <c r="B77" s="49"/>
      <c r="C77" s="49" t="s">
        <v>119</v>
      </c>
      <c r="D77" s="29">
        <f>D78</f>
        <v>6283181</v>
      </c>
      <c r="E77" s="29">
        <f>E78</f>
        <v>71650</v>
      </c>
      <c r="F77" s="29">
        <f t="shared" si="12"/>
        <v>6354831</v>
      </c>
      <c r="G77" s="7"/>
      <c r="H77" s="2"/>
    </row>
    <row r="78" spans="1:9" ht="36" customHeight="1">
      <c r="A78" s="88">
        <v>7310000</v>
      </c>
      <c r="B78" s="49"/>
      <c r="C78" s="49" t="s">
        <v>119</v>
      </c>
      <c r="D78" s="29">
        <v>6283181</v>
      </c>
      <c r="E78" s="29">
        <f>E79</f>
        <v>71650</v>
      </c>
      <c r="F78" s="29">
        <f t="shared" si="12"/>
        <v>6354831</v>
      </c>
      <c r="G78" s="7"/>
      <c r="H78" s="2"/>
    </row>
    <row r="79" spans="1:9" ht="25.5" customHeight="1">
      <c r="A79" s="76" t="s">
        <v>121</v>
      </c>
      <c r="B79" s="74" t="s">
        <v>120</v>
      </c>
      <c r="C79" s="48" t="s">
        <v>78</v>
      </c>
      <c r="D79" s="44">
        <v>639030</v>
      </c>
      <c r="E79" s="44">
        <f>71650</f>
        <v>71650</v>
      </c>
      <c r="F79" s="44">
        <f t="shared" si="12"/>
        <v>710680</v>
      </c>
      <c r="G79" s="7"/>
      <c r="H79" s="2"/>
    </row>
    <row r="80" spans="1:9" ht="38.25" customHeight="1">
      <c r="A80" s="88">
        <v>7600000</v>
      </c>
      <c r="B80" s="49"/>
      <c r="C80" s="49" t="s">
        <v>77</v>
      </c>
      <c r="D80" s="29">
        <f>D81</f>
        <v>1074028811</v>
      </c>
      <c r="E80" s="29">
        <f>E81</f>
        <v>-30092585</v>
      </c>
      <c r="F80" s="29">
        <f t="shared" ref="F80:F81" si="13">D80+E80</f>
        <v>1043936226</v>
      </c>
      <c r="G80" s="7"/>
      <c r="H80" s="2"/>
    </row>
    <row r="81" spans="1:8" ht="42.75" customHeight="1">
      <c r="A81" s="88">
        <v>7610000</v>
      </c>
      <c r="B81" s="49"/>
      <c r="C81" s="49" t="s">
        <v>77</v>
      </c>
      <c r="D81" s="29">
        <f>1073960747+68064</f>
        <v>1074028811</v>
      </c>
      <c r="E81" s="29">
        <f>E82+E83+E92</f>
        <v>-30092585</v>
      </c>
      <c r="F81" s="29">
        <f t="shared" si="13"/>
        <v>1043936226</v>
      </c>
      <c r="G81" s="7"/>
      <c r="H81" s="2"/>
    </row>
    <row r="82" spans="1:8" ht="24" customHeight="1">
      <c r="A82" s="76">
        <v>7618600</v>
      </c>
      <c r="B82" s="74">
        <v>8600</v>
      </c>
      <c r="C82" s="87" t="s">
        <v>78</v>
      </c>
      <c r="D82" s="44">
        <f>14270200-68150-130936</f>
        <v>14071114</v>
      </c>
      <c r="E82" s="44">
        <f>-285000-90000-26000-90000-50000</f>
        <v>-541000</v>
      </c>
      <c r="F82" s="44">
        <f t="shared" ref="F82:F91" si="14">D82+E82</f>
        <v>13530114</v>
      </c>
      <c r="G82" s="7"/>
      <c r="H82" s="2"/>
    </row>
    <row r="83" spans="1:8" ht="24" customHeight="1">
      <c r="A83" s="76">
        <v>7618700</v>
      </c>
      <c r="B83" s="74">
        <v>8700</v>
      </c>
      <c r="C83" s="87" t="s">
        <v>79</v>
      </c>
      <c r="D83" s="44">
        <f>SUM(D85:D91)</f>
        <v>104607860</v>
      </c>
      <c r="E83" s="44">
        <f>SUM(E85:E91)</f>
        <v>-29601585</v>
      </c>
      <c r="F83" s="44">
        <f t="shared" si="14"/>
        <v>75006275</v>
      </c>
      <c r="G83" s="7"/>
      <c r="H83" s="2"/>
    </row>
    <row r="84" spans="1:8" ht="33.75" customHeight="1">
      <c r="A84" s="78"/>
      <c r="B84" s="89"/>
      <c r="C84" s="91" t="s">
        <v>80</v>
      </c>
      <c r="D84" s="56"/>
      <c r="E84" s="56"/>
      <c r="F84" s="56"/>
      <c r="G84" s="7"/>
      <c r="H84" s="2"/>
    </row>
    <row r="85" spans="1:8" ht="24" customHeight="1">
      <c r="A85" s="74"/>
      <c r="B85" s="86"/>
      <c r="C85" s="90" t="s">
        <v>82</v>
      </c>
      <c r="D85" s="44">
        <f>18385320</f>
        <v>18385320</v>
      </c>
      <c r="E85" s="56">
        <v>-9676000</v>
      </c>
      <c r="F85" s="56">
        <f t="shared" si="14"/>
        <v>8709320</v>
      </c>
      <c r="G85" s="7"/>
      <c r="H85" s="2"/>
    </row>
    <row r="86" spans="1:8" ht="24" customHeight="1">
      <c r="A86" s="74"/>
      <c r="B86" s="86"/>
      <c r="C86" s="90" t="s">
        <v>83</v>
      </c>
      <c r="D86" s="44">
        <f>12277820+2714000-1414000</f>
        <v>13577820</v>
      </c>
      <c r="E86" s="56">
        <v>-2222500</v>
      </c>
      <c r="F86" s="56">
        <f t="shared" ref="F86:F87" si="15">D86+E86</f>
        <v>11355320</v>
      </c>
      <c r="G86" s="7"/>
      <c r="H86" s="2"/>
    </row>
    <row r="87" spans="1:8" ht="24" customHeight="1">
      <c r="A87" s="74"/>
      <c r="B87" s="86"/>
      <c r="C87" s="90" t="s">
        <v>84</v>
      </c>
      <c r="D87" s="44">
        <f>10161660</f>
        <v>10161660</v>
      </c>
      <c r="E87" s="80">
        <v>-3192900</v>
      </c>
      <c r="F87" s="56">
        <f t="shared" si="15"/>
        <v>6968760</v>
      </c>
      <c r="G87" s="7"/>
      <c r="H87" s="2"/>
    </row>
    <row r="88" spans="1:8" ht="24" customHeight="1">
      <c r="A88" s="74"/>
      <c r="B88" s="86"/>
      <c r="C88" s="79" t="s">
        <v>81</v>
      </c>
      <c r="D88" s="44">
        <f>19676350</f>
        <v>19676350</v>
      </c>
      <c r="E88" s="107">
        <v>-3209300</v>
      </c>
      <c r="F88" s="92">
        <f>D88+E88</f>
        <v>16467050</v>
      </c>
      <c r="G88" s="7"/>
      <c r="H88" s="2"/>
    </row>
    <row r="89" spans="1:8" ht="24" customHeight="1">
      <c r="A89" s="74"/>
      <c r="B89" s="86"/>
      <c r="C89" s="90" t="s">
        <v>85</v>
      </c>
      <c r="D89" s="44">
        <f>11315750+3500000</f>
        <v>14815750</v>
      </c>
      <c r="E89" s="56">
        <v>-4678585</v>
      </c>
      <c r="F89" s="56">
        <f t="shared" si="14"/>
        <v>10137165</v>
      </c>
      <c r="G89" s="7"/>
      <c r="H89" s="2"/>
    </row>
    <row r="90" spans="1:8" ht="24" customHeight="1">
      <c r="A90" s="74"/>
      <c r="B90" s="86"/>
      <c r="C90" s="90" t="s">
        <v>86</v>
      </c>
      <c r="D90" s="44">
        <f>18463670</f>
        <v>18463670</v>
      </c>
      <c r="E90" s="56">
        <v>-3694700</v>
      </c>
      <c r="F90" s="56">
        <f t="shared" si="14"/>
        <v>14768970</v>
      </c>
      <c r="G90" s="7"/>
      <c r="H90" s="2"/>
    </row>
    <row r="91" spans="1:8" ht="24" customHeight="1">
      <c r="A91" s="74"/>
      <c r="B91" s="86"/>
      <c r="C91" s="79" t="s">
        <v>87</v>
      </c>
      <c r="D91" s="44">
        <f>9332290+195000</f>
        <v>9527290</v>
      </c>
      <c r="E91" s="56">
        <v>-2927600</v>
      </c>
      <c r="F91" s="56">
        <f t="shared" si="14"/>
        <v>6599690</v>
      </c>
      <c r="G91" s="7"/>
      <c r="H91" s="2"/>
    </row>
    <row r="92" spans="1:8" ht="105" customHeight="1">
      <c r="A92" s="76">
        <v>7618800</v>
      </c>
      <c r="B92" s="74">
        <v>8800</v>
      </c>
      <c r="C92" s="87" t="s">
        <v>169</v>
      </c>
      <c r="D92" s="75">
        <v>332750</v>
      </c>
      <c r="E92" s="75">
        <f>E93</f>
        <v>50000</v>
      </c>
      <c r="F92" s="75">
        <f>D92+E92</f>
        <v>382750</v>
      </c>
      <c r="G92" s="7"/>
      <c r="H92" s="2"/>
    </row>
    <row r="93" spans="1:8" ht="37.5" customHeight="1" thickBot="1">
      <c r="A93" s="74"/>
      <c r="B93" s="86"/>
      <c r="C93" s="90" t="s">
        <v>170</v>
      </c>
      <c r="D93" s="80">
        <v>0</v>
      </c>
      <c r="E93" s="80">
        <f>50000</f>
        <v>50000</v>
      </c>
      <c r="F93" s="80">
        <f>D93+E93</f>
        <v>50000</v>
      </c>
      <c r="G93" s="7"/>
      <c r="H93" s="2"/>
    </row>
    <row r="94" spans="1:8" ht="38.25" customHeight="1">
      <c r="A94" s="40"/>
      <c r="B94" s="63"/>
      <c r="C94" s="37" t="s">
        <v>9</v>
      </c>
      <c r="D94" s="51">
        <f>639772451+290942+155000</f>
        <v>640218393</v>
      </c>
      <c r="E94" s="27">
        <f>E96+E100+E124+E131+E138+E154+E161+E175</f>
        <v>31978251</v>
      </c>
      <c r="F94" s="27">
        <f t="shared" si="9"/>
        <v>672196644</v>
      </c>
      <c r="G94" s="7"/>
      <c r="H94" s="2"/>
    </row>
    <row r="95" spans="1:8" ht="20.25" customHeight="1" thickBot="1">
      <c r="A95" s="41"/>
      <c r="B95" s="64"/>
      <c r="C95" s="38" t="s">
        <v>6</v>
      </c>
      <c r="D95" s="28">
        <f>155000+446966242</f>
        <v>447121242</v>
      </c>
      <c r="E95" s="28">
        <f>E102+E126+E133+E140+E156+E163+E177</f>
        <v>30554107</v>
      </c>
      <c r="F95" s="28">
        <f t="shared" si="9"/>
        <v>477675349</v>
      </c>
      <c r="G95" s="7"/>
      <c r="H95" s="2"/>
    </row>
    <row r="96" spans="1:8" ht="36" customHeight="1">
      <c r="A96" s="69" t="s">
        <v>41</v>
      </c>
      <c r="B96" s="49"/>
      <c r="C96" s="49" t="s">
        <v>42</v>
      </c>
      <c r="D96" s="29">
        <f>D97</f>
        <v>25566435</v>
      </c>
      <c r="E96" s="29">
        <f>E97</f>
        <v>-11500</v>
      </c>
      <c r="F96" s="29">
        <f t="shared" ref="F96:F99" si="16">D96+E96</f>
        <v>25554935</v>
      </c>
      <c r="G96" s="7"/>
      <c r="H96" s="2"/>
    </row>
    <row r="97" spans="1:8" ht="40.5" customHeight="1">
      <c r="A97" s="69" t="s">
        <v>43</v>
      </c>
      <c r="B97" s="49"/>
      <c r="C97" s="49" t="s">
        <v>42</v>
      </c>
      <c r="D97" s="29">
        <v>25566435</v>
      </c>
      <c r="E97" s="29">
        <f>E98</f>
        <v>-11500</v>
      </c>
      <c r="F97" s="29">
        <f t="shared" si="16"/>
        <v>25554935</v>
      </c>
      <c r="G97" s="7"/>
      <c r="H97" s="2"/>
    </row>
    <row r="98" spans="1:8" ht="35.25" customHeight="1">
      <c r="A98" s="76" t="s">
        <v>90</v>
      </c>
      <c r="B98" s="74">
        <v>9140</v>
      </c>
      <c r="C98" s="87" t="s">
        <v>89</v>
      </c>
      <c r="D98" s="46">
        <v>11500</v>
      </c>
      <c r="E98" s="44">
        <v>-11500</v>
      </c>
      <c r="F98" s="44">
        <f t="shared" si="16"/>
        <v>0</v>
      </c>
      <c r="G98" s="7"/>
      <c r="H98" s="2"/>
    </row>
    <row r="99" spans="1:8" ht="20.25" customHeight="1">
      <c r="A99" s="57"/>
      <c r="B99" s="57"/>
      <c r="C99" s="47" t="s">
        <v>91</v>
      </c>
      <c r="D99" s="68">
        <v>11500</v>
      </c>
      <c r="E99" s="56">
        <v>-11500</v>
      </c>
      <c r="F99" s="56">
        <f t="shared" si="16"/>
        <v>0</v>
      </c>
      <c r="G99" s="7"/>
      <c r="H99" s="2"/>
    </row>
    <row r="100" spans="1:8" ht="39" customHeight="1">
      <c r="A100" s="69" t="s">
        <v>19</v>
      </c>
      <c r="B100" s="49"/>
      <c r="C100" s="49" t="s">
        <v>18</v>
      </c>
      <c r="D100" s="29">
        <f>D101</f>
        <v>110288474</v>
      </c>
      <c r="E100" s="29">
        <f>E101</f>
        <v>16234236</v>
      </c>
      <c r="F100" s="29">
        <f t="shared" si="9"/>
        <v>126522710</v>
      </c>
      <c r="G100" s="7"/>
      <c r="H100" s="2"/>
    </row>
    <row r="101" spans="1:8" ht="38.25" customHeight="1">
      <c r="A101" s="69" t="s">
        <v>20</v>
      </c>
      <c r="B101" s="49"/>
      <c r="C101" s="49" t="s">
        <v>18</v>
      </c>
      <c r="D101" s="29">
        <f>110133474+155000</f>
        <v>110288474</v>
      </c>
      <c r="E101" s="29">
        <f>E103+E105+E107+E109+E111+E113+E120</f>
        <v>16234236</v>
      </c>
      <c r="F101" s="29">
        <f t="shared" si="9"/>
        <v>126522710</v>
      </c>
      <c r="G101" s="7"/>
      <c r="H101" s="2"/>
    </row>
    <row r="102" spans="1:8" ht="20.25" customHeight="1">
      <c r="A102" s="70"/>
      <c r="B102" s="67"/>
      <c r="C102" s="67" t="s">
        <v>6</v>
      </c>
      <c r="D102" s="45">
        <f>33190437+155000</f>
        <v>33345437</v>
      </c>
      <c r="E102" s="45">
        <f>E104+E106+E108+E110+E112+E119+E123</f>
        <v>14810092</v>
      </c>
      <c r="F102" s="45">
        <f t="shared" si="9"/>
        <v>48155529</v>
      </c>
      <c r="G102" s="7"/>
      <c r="H102" s="2"/>
    </row>
    <row r="103" spans="1:8" ht="27" customHeight="1">
      <c r="A103" s="66" t="s">
        <v>24</v>
      </c>
      <c r="B103" s="66">
        <v>1010</v>
      </c>
      <c r="C103" s="48" t="s">
        <v>22</v>
      </c>
      <c r="D103" s="44">
        <v>40402138</v>
      </c>
      <c r="E103" s="44">
        <f>E104</f>
        <v>157300</v>
      </c>
      <c r="F103" s="44">
        <f t="shared" si="9"/>
        <v>40559438</v>
      </c>
      <c r="G103" s="7"/>
      <c r="H103" s="2"/>
    </row>
    <row r="104" spans="1:8" ht="20.25" customHeight="1">
      <c r="A104" s="57"/>
      <c r="B104" s="57"/>
      <c r="C104" s="47" t="s">
        <v>6</v>
      </c>
      <c r="D104" s="68">
        <v>1394375</v>
      </c>
      <c r="E104" s="56">
        <f>157300</f>
        <v>157300</v>
      </c>
      <c r="F104" s="56">
        <f t="shared" si="9"/>
        <v>1551675</v>
      </c>
      <c r="G104" s="7"/>
      <c r="H104" s="2"/>
    </row>
    <row r="105" spans="1:8" ht="99.75" customHeight="1">
      <c r="A105" s="66" t="s">
        <v>25</v>
      </c>
      <c r="B105" s="66">
        <v>1020</v>
      </c>
      <c r="C105" s="48" t="s">
        <v>23</v>
      </c>
      <c r="D105" s="44">
        <v>34480367</v>
      </c>
      <c r="E105" s="44">
        <f>E106</f>
        <v>712500</v>
      </c>
      <c r="F105" s="44">
        <f t="shared" si="9"/>
        <v>35192867</v>
      </c>
      <c r="G105" s="7"/>
      <c r="H105" s="2"/>
    </row>
    <row r="106" spans="1:8" ht="20.25" customHeight="1">
      <c r="A106" s="57"/>
      <c r="B106" s="57"/>
      <c r="C106" s="47" t="s">
        <v>6</v>
      </c>
      <c r="D106" s="68">
        <v>1086881</v>
      </c>
      <c r="E106" s="56">
        <f>14000+24000+8000+10000+16000+8000+632500</f>
        <v>712500</v>
      </c>
      <c r="F106" s="56">
        <f t="shared" ref="F106" si="17">D106+E106</f>
        <v>1799381</v>
      </c>
      <c r="G106" s="7"/>
      <c r="H106" s="7"/>
    </row>
    <row r="107" spans="1:8" ht="70.5" customHeight="1">
      <c r="A107" s="66" t="s">
        <v>163</v>
      </c>
      <c r="B107" s="66">
        <v>1040</v>
      </c>
      <c r="C107" s="48" t="s">
        <v>162</v>
      </c>
      <c r="D107" s="44">
        <v>326586</v>
      </c>
      <c r="E107" s="44">
        <f>E108</f>
        <v>10000</v>
      </c>
      <c r="F107" s="44">
        <f t="shared" si="9"/>
        <v>336586</v>
      </c>
      <c r="G107" s="7"/>
      <c r="H107" s="7"/>
    </row>
    <row r="108" spans="1:8" ht="20.25" customHeight="1">
      <c r="A108" s="57"/>
      <c r="B108" s="57"/>
      <c r="C108" s="47" t="s">
        <v>6</v>
      </c>
      <c r="D108" s="68">
        <v>61054</v>
      </c>
      <c r="E108" s="56">
        <v>10000</v>
      </c>
      <c r="F108" s="56">
        <f t="shared" si="9"/>
        <v>71054</v>
      </c>
      <c r="G108" s="7"/>
      <c r="H108" s="7"/>
    </row>
    <row r="109" spans="1:8" ht="52.5" customHeight="1">
      <c r="A109" s="66" t="s">
        <v>27</v>
      </c>
      <c r="B109" s="66" t="s">
        <v>56</v>
      </c>
      <c r="C109" s="48" t="s">
        <v>26</v>
      </c>
      <c r="D109" s="46">
        <v>1966675</v>
      </c>
      <c r="E109" s="44">
        <f>E110</f>
        <v>613000</v>
      </c>
      <c r="F109" s="44">
        <f t="shared" si="9"/>
        <v>2579675</v>
      </c>
      <c r="G109" s="7"/>
      <c r="H109" s="2"/>
    </row>
    <row r="110" spans="1:8" ht="20.25" customHeight="1">
      <c r="A110" s="57"/>
      <c r="B110" s="57"/>
      <c r="C110" s="47" t="s">
        <v>6</v>
      </c>
      <c r="D110" s="68">
        <v>1053800</v>
      </c>
      <c r="E110" s="56">
        <f>600000+13000</f>
        <v>613000</v>
      </c>
      <c r="F110" s="56">
        <f t="shared" si="9"/>
        <v>1666800</v>
      </c>
      <c r="G110" s="7"/>
      <c r="H110" s="2"/>
    </row>
    <row r="111" spans="1:8" ht="51" customHeight="1">
      <c r="A111" s="66" t="s">
        <v>29</v>
      </c>
      <c r="B111" s="66" t="s">
        <v>177</v>
      </c>
      <c r="C111" s="48" t="s">
        <v>28</v>
      </c>
      <c r="D111" s="46">
        <v>24575134</v>
      </c>
      <c r="E111" s="44">
        <f>E112</f>
        <v>421500</v>
      </c>
      <c r="F111" s="44">
        <f t="shared" ref="F111:F112" si="18">D111+E111</f>
        <v>24996634</v>
      </c>
      <c r="G111" s="7"/>
      <c r="H111" s="2"/>
    </row>
    <row r="112" spans="1:8" ht="20.25" customHeight="1">
      <c r="A112" s="57"/>
      <c r="B112" s="57"/>
      <c r="C112" s="47" t="s">
        <v>6</v>
      </c>
      <c r="D112" s="68">
        <v>24575134</v>
      </c>
      <c r="E112" s="56">
        <f>421500</f>
        <v>421500</v>
      </c>
      <c r="F112" s="56">
        <f t="shared" si="18"/>
        <v>24996634</v>
      </c>
      <c r="G112" s="7"/>
      <c r="H112" s="2"/>
    </row>
    <row r="113" spans="1:8" ht="36.75" customHeight="1">
      <c r="A113" s="76" t="s">
        <v>115</v>
      </c>
      <c r="B113" s="74" t="s">
        <v>114</v>
      </c>
      <c r="C113" s="77" t="s">
        <v>113</v>
      </c>
      <c r="D113" s="75">
        <v>0</v>
      </c>
      <c r="E113" s="75">
        <f>E114</f>
        <v>19494129</v>
      </c>
      <c r="F113" s="44">
        <f t="shared" si="9"/>
        <v>19494129</v>
      </c>
      <c r="G113" s="7"/>
      <c r="H113" s="2"/>
    </row>
    <row r="114" spans="1:8" ht="50.25" customHeight="1">
      <c r="A114" s="94" t="s">
        <v>117</v>
      </c>
      <c r="B114" s="78" t="s">
        <v>118</v>
      </c>
      <c r="C114" s="79" t="s">
        <v>116</v>
      </c>
      <c r="D114" s="80">
        <v>0</v>
      </c>
      <c r="E114" s="80">
        <f>E115+E118</f>
        <v>19494129</v>
      </c>
      <c r="F114" s="56">
        <f t="shared" si="9"/>
        <v>19494129</v>
      </c>
      <c r="G114" s="7"/>
      <c r="H114" s="2"/>
    </row>
    <row r="115" spans="1:8" ht="22.5" customHeight="1">
      <c r="A115" s="94"/>
      <c r="B115" s="78"/>
      <c r="C115" s="47" t="s">
        <v>91</v>
      </c>
      <c r="D115" s="80">
        <v>0</v>
      </c>
      <c r="E115" s="80">
        <f>1424144</f>
        <v>1424144</v>
      </c>
      <c r="F115" s="56">
        <f t="shared" si="9"/>
        <v>1424144</v>
      </c>
      <c r="G115" s="7"/>
      <c r="H115" s="2"/>
    </row>
    <row r="116" spans="1:8" ht="21.75" customHeight="1">
      <c r="A116" s="94"/>
      <c r="B116" s="78"/>
      <c r="C116" s="47" t="s">
        <v>156</v>
      </c>
      <c r="D116" s="80">
        <v>0</v>
      </c>
      <c r="E116" s="80">
        <f>620870</f>
        <v>620870</v>
      </c>
      <c r="F116" s="56">
        <f t="shared" si="9"/>
        <v>620870</v>
      </c>
      <c r="G116" s="7"/>
      <c r="H116" s="2"/>
    </row>
    <row r="117" spans="1:8" ht="23.25" customHeight="1">
      <c r="A117" s="94"/>
      <c r="B117" s="78"/>
      <c r="C117" s="47" t="s">
        <v>157</v>
      </c>
      <c r="D117" s="80">
        <v>0</v>
      </c>
      <c r="E117" s="80">
        <f>239820</f>
        <v>239820</v>
      </c>
      <c r="F117" s="56">
        <f t="shared" si="9"/>
        <v>239820</v>
      </c>
      <c r="G117" s="7"/>
      <c r="H117" s="2"/>
    </row>
    <row r="118" spans="1:8" ht="21" customHeight="1">
      <c r="A118" s="57"/>
      <c r="B118" s="57"/>
      <c r="C118" s="47" t="s">
        <v>103</v>
      </c>
      <c r="D118" s="68">
        <v>0</v>
      </c>
      <c r="E118" s="56">
        <f>E119</f>
        <v>18069985</v>
      </c>
      <c r="F118" s="56">
        <f t="shared" ref="F118" si="19">D118+E118</f>
        <v>18069985</v>
      </c>
      <c r="G118" s="7"/>
      <c r="H118" s="2"/>
    </row>
    <row r="119" spans="1:8" ht="21.75" customHeight="1">
      <c r="A119" s="57"/>
      <c r="B119" s="57"/>
      <c r="C119" s="47" t="s">
        <v>158</v>
      </c>
      <c r="D119" s="68">
        <v>0</v>
      </c>
      <c r="E119" s="56">
        <f>18069985</f>
        <v>18069985</v>
      </c>
      <c r="F119" s="56">
        <f t="shared" ref="F119" si="20">D119+E119</f>
        <v>18069985</v>
      </c>
      <c r="G119" s="7"/>
      <c r="H119" s="2"/>
    </row>
    <row r="120" spans="1:8" ht="31.5" customHeight="1">
      <c r="A120" s="66">
        <v>1018800</v>
      </c>
      <c r="B120" s="66" t="s">
        <v>137</v>
      </c>
      <c r="C120" s="48" t="s">
        <v>168</v>
      </c>
      <c r="D120" s="46">
        <f>5094193</f>
        <v>5094193</v>
      </c>
      <c r="E120" s="44">
        <f>E121+E122</f>
        <v>-5174193</v>
      </c>
      <c r="F120" s="44">
        <f t="shared" si="9"/>
        <v>-80000</v>
      </c>
      <c r="G120" s="7"/>
      <c r="H120" s="2"/>
    </row>
    <row r="121" spans="1:8" ht="84" customHeight="1">
      <c r="A121" s="66"/>
      <c r="B121" s="66"/>
      <c r="C121" s="48" t="s">
        <v>172</v>
      </c>
      <c r="D121" s="46">
        <f>5094193</f>
        <v>5094193</v>
      </c>
      <c r="E121" s="44">
        <v>-5094193</v>
      </c>
      <c r="F121" s="44">
        <f>D121+E121</f>
        <v>0</v>
      </c>
      <c r="G121" s="7"/>
      <c r="H121" s="2"/>
    </row>
    <row r="122" spans="1:8" ht="71.25" customHeight="1">
      <c r="A122" s="66"/>
      <c r="B122" s="66"/>
      <c r="C122" s="48" t="s">
        <v>173</v>
      </c>
      <c r="D122" s="46">
        <v>80000</v>
      </c>
      <c r="E122" s="44">
        <v>-80000</v>
      </c>
      <c r="F122" s="44">
        <f>D122+E122</f>
        <v>0</v>
      </c>
      <c r="G122" s="7"/>
      <c r="H122" s="2"/>
    </row>
    <row r="123" spans="1:8" ht="20.25" customHeight="1">
      <c r="A123" s="57"/>
      <c r="B123" s="57"/>
      <c r="C123" s="47" t="s">
        <v>6</v>
      </c>
      <c r="D123" s="68">
        <f>5094193</f>
        <v>5094193</v>
      </c>
      <c r="E123" s="56">
        <f>-5094193-80000</f>
        <v>-5174193</v>
      </c>
      <c r="F123" s="56">
        <f t="shared" si="9"/>
        <v>-80000</v>
      </c>
      <c r="G123" s="7"/>
      <c r="H123" s="2"/>
    </row>
    <row r="124" spans="1:8" ht="36" customHeight="1">
      <c r="A124" s="69" t="s">
        <v>58</v>
      </c>
      <c r="B124" s="49"/>
      <c r="C124" s="49" t="s">
        <v>57</v>
      </c>
      <c r="D124" s="29">
        <f>D125</f>
        <v>98687327</v>
      </c>
      <c r="E124" s="29">
        <f>E125</f>
        <v>5026400</v>
      </c>
      <c r="F124" s="29">
        <f t="shared" ref="F124:F129" si="21">D124+E124</f>
        <v>103713727</v>
      </c>
      <c r="G124" s="7"/>
      <c r="H124" s="2"/>
    </row>
    <row r="125" spans="1:8" ht="40.5" customHeight="1">
      <c r="A125" s="69" t="s">
        <v>59</v>
      </c>
      <c r="B125" s="49"/>
      <c r="C125" s="49" t="s">
        <v>57</v>
      </c>
      <c r="D125" s="29">
        <v>98687327</v>
      </c>
      <c r="E125" s="29">
        <f>E127+E129</f>
        <v>5026400</v>
      </c>
      <c r="F125" s="29">
        <f t="shared" si="21"/>
        <v>103713727</v>
      </c>
      <c r="G125" s="7"/>
      <c r="H125" s="2"/>
    </row>
    <row r="126" spans="1:8" ht="20.25" customHeight="1">
      <c r="A126" s="70"/>
      <c r="B126" s="67"/>
      <c r="C126" s="67" t="s">
        <v>6</v>
      </c>
      <c r="D126" s="45">
        <v>71483439</v>
      </c>
      <c r="E126" s="45">
        <f>E128+E130</f>
        <v>5026400</v>
      </c>
      <c r="F126" s="45">
        <f t="shared" si="21"/>
        <v>76509839</v>
      </c>
      <c r="G126" s="7"/>
      <c r="H126" s="2"/>
    </row>
    <row r="127" spans="1:8" ht="36.75" customHeight="1">
      <c r="A127" s="76" t="s">
        <v>62</v>
      </c>
      <c r="B127" s="74" t="s">
        <v>60</v>
      </c>
      <c r="C127" s="77" t="s">
        <v>61</v>
      </c>
      <c r="D127" s="46">
        <v>43704749</v>
      </c>
      <c r="E127" s="44">
        <f>E128</f>
        <v>26400</v>
      </c>
      <c r="F127" s="44">
        <f t="shared" ref="F127:F128" si="22">D127+E127</f>
        <v>43731149</v>
      </c>
      <c r="G127" s="7"/>
      <c r="H127" s="2"/>
    </row>
    <row r="128" spans="1:8" ht="20.25" customHeight="1">
      <c r="A128" s="57"/>
      <c r="B128" s="57"/>
      <c r="C128" s="47" t="s">
        <v>6</v>
      </c>
      <c r="D128" s="68">
        <v>32356859</v>
      </c>
      <c r="E128" s="56">
        <f>26400</f>
        <v>26400</v>
      </c>
      <c r="F128" s="56">
        <f t="shared" si="22"/>
        <v>32383259</v>
      </c>
      <c r="G128" s="7"/>
      <c r="H128" s="2"/>
    </row>
    <row r="129" spans="1:8" ht="27" customHeight="1">
      <c r="A129" s="76" t="s">
        <v>65</v>
      </c>
      <c r="B129" s="74" t="s">
        <v>66</v>
      </c>
      <c r="C129" s="77" t="s">
        <v>68</v>
      </c>
      <c r="D129" s="46">
        <v>0</v>
      </c>
      <c r="E129" s="44">
        <f>E130</f>
        <v>5000000</v>
      </c>
      <c r="F129" s="44">
        <f t="shared" si="21"/>
        <v>5000000</v>
      </c>
      <c r="G129" s="7"/>
      <c r="H129" s="2"/>
    </row>
    <row r="130" spans="1:8" ht="20.25" customHeight="1">
      <c r="A130" s="57"/>
      <c r="B130" s="57"/>
      <c r="C130" s="47" t="s">
        <v>6</v>
      </c>
      <c r="D130" s="68">
        <v>0</v>
      </c>
      <c r="E130" s="56">
        <f>5000000</f>
        <v>5000000</v>
      </c>
      <c r="F130" s="56">
        <f t="shared" ref="F130" si="23">D130+E130</f>
        <v>5000000</v>
      </c>
      <c r="G130" s="7"/>
      <c r="H130" s="2"/>
    </row>
    <row r="131" spans="1:8" ht="39" customHeight="1">
      <c r="A131" s="69" t="s">
        <v>52</v>
      </c>
      <c r="B131" s="49"/>
      <c r="C131" s="49" t="s">
        <v>40</v>
      </c>
      <c r="D131" s="29">
        <f>D132</f>
        <v>23963355</v>
      </c>
      <c r="E131" s="29">
        <f t="shared" ref="E131:F131" si="24">E132</f>
        <v>236571</v>
      </c>
      <c r="F131" s="29">
        <f t="shared" si="24"/>
        <v>24199926</v>
      </c>
      <c r="G131" s="7"/>
      <c r="H131" s="2"/>
    </row>
    <row r="132" spans="1:8" ht="42" customHeight="1">
      <c r="A132" s="69">
        <v>2410000</v>
      </c>
      <c r="B132" s="49"/>
      <c r="C132" s="49" t="s">
        <v>40</v>
      </c>
      <c r="D132" s="29">
        <v>23963355</v>
      </c>
      <c r="E132" s="29">
        <f>E134+E136</f>
        <v>236571</v>
      </c>
      <c r="F132" s="29">
        <f t="shared" ref="F132:F135" si="25">D132+E132</f>
        <v>24199926</v>
      </c>
      <c r="G132" s="7"/>
      <c r="H132" s="2"/>
    </row>
    <row r="133" spans="1:8" ht="20.25" customHeight="1">
      <c r="A133" s="70"/>
      <c r="B133" s="67"/>
      <c r="C133" s="67" t="s">
        <v>6</v>
      </c>
      <c r="D133" s="45">
        <v>18009579</v>
      </c>
      <c r="E133" s="45">
        <f>E135+E137</f>
        <v>236571</v>
      </c>
      <c r="F133" s="45">
        <f t="shared" si="25"/>
        <v>18246150</v>
      </c>
      <c r="G133" s="7"/>
      <c r="H133" s="2"/>
    </row>
    <row r="134" spans="1:8" ht="33.75" customHeight="1">
      <c r="A134" s="76" t="s">
        <v>69</v>
      </c>
      <c r="B134" s="74" t="s">
        <v>70</v>
      </c>
      <c r="C134" s="77" t="s">
        <v>73</v>
      </c>
      <c r="D134" s="46">
        <v>653352</v>
      </c>
      <c r="E134" s="44">
        <f>E135</f>
        <v>140000</v>
      </c>
      <c r="F134" s="44">
        <f t="shared" si="25"/>
        <v>793352</v>
      </c>
      <c r="G134" s="7"/>
      <c r="H134" s="2"/>
    </row>
    <row r="135" spans="1:8" ht="20.25" customHeight="1">
      <c r="A135" s="57"/>
      <c r="B135" s="57"/>
      <c r="C135" s="47" t="s">
        <v>6</v>
      </c>
      <c r="D135" s="68">
        <v>246306</v>
      </c>
      <c r="E135" s="56">
        <f>140000</f>
        <v>140000</v>
      </c>
      <c r="F135" s="56">
        <f t="shared" si="25"/>
        <v>386306</v>
      </c>
      <c r="G135" s="7"/>
      <c r="H135" s="2"/>
    </row>
    <row r="136" spans="1:8" ht="24" customHeight="1">
      <c r="A136" s="76" t="s">
        <v>71</v>
      </c>
      <c r="B136" s="74" t="s">
        <v>72</v>
      </c>
      <c r="C136" s="77" t="s">
        <v>74</v>
      </c>
      <c r="D136" s="46">
        <v>5390189</v>
      </c>
      <c r="E136" s="44">
        <f>E137</f>
        <v>96571</v>
      </c>
      <c r="F136" s="44">
        <f t="shared" ref="F136:F137" si="26">D136+E136</f>
        <v>5486760</v>
      </c>
      <c r="G136" s="7"/>
      <c r="H136" s="2"/>
    </row>
    <row r="137" spans="1:8" ht="20.25" customHeight="1">
      <c r="A137" s="57"/>
      <c r="B137" s="57"/>
      <c r="C137" s="47" t="s">
        <v>6</v>
      </c>
      <c r="D137" s="68">
        <v>0</v>
      </c>
      <c r="E137" s="56">
        <f>96571</f>
        <v>96571</v>
      </c>
      <c r="F137" s="56">
        <f t="shared" si="26"/>
        <v>96571</v>
      </c>
      <c r="G137" s="7"/>
      <c r="H137" s="2"/>
    </row>
    <row r="138" spans="1:8" ht="54.75" customHeight="1">
      <c r="A138" s="69">
        <v>4000000</v>
      </c>
      <c r="B138" s="49"/>
      <c r="C138" s="49" t="s">
        <v>7</v>
      </c>
      <c r="D138" s="29">
        <f>D139</f>
        <v>225687756</v>
      </c>
      <c r="E138" s="29">
        <f>E139</f>
        <v>12565551</v>
      </c>
      <c r="F138" s="29">
        <f t="shared" si="9"/>
        <v>238253307</v>
      </c>
      <c r="G138" s="7"/>
      <c r="H138" s="2"/>
    </row>
    <row r="139" spans="1:8" ht="56.25" customHeight="1">
      <c r="A139" s="69">
        <v>4010000</v>
      </c>
      <c r="B139" s="49"/>
      <c r="C139" s="49" t="s">
        <v>7</v>
      </c>
      <c r="D139" s="29">
        <f>225687756</f>
        <v>225687756</v>
      </c>
      <c r="E139" s="29">
        <f>E141+E145+E147+E150+E152+E143</f>
        <v>12565551</v>
      </c>
      <c r="F139" s="29">
        <f t="shared" si="9"/>
        <v>238253307</v>
      </c>
      <c r="G139" s="7"/>
      <c r="H139" s="2"/>
    </row>
    <row r="140" spans="1:8" ht="21" customHeight="1">
      <c r="A140" s="70"/>
      <c r="B140" s="67"/>
      <c r="C140" s="67" t="s">
        <v>6</v>
      </c>
      <c r="D140" s="45">
        <v>194747156</v>
      </c>
      <c r="E140" s="45">
        <f>E142+E146+E144</f>
        <v>15766851</v>
      </c>
      <c r="F140" s="45">
        <f t="shared" si="9"/>
        <v>210514007</v>
      </c>
      <c r="G140" s="7"/>
      <c r="H140" s="2"/>
    </row>
    <row r="141" spans="1:8" ht="34.5" customHeight="1">
      <c r="A141" s="76">
        <v>4017470</v>
      </c>
      <c r="B141" s="74">
        <v>7470</v>
      </c>
      <c r="C141" s="48" t="s">
        <v>92</v>
      </c>
      <c r="D141" s="46">
        <v>3600000</v>
      </c>
      <c r="E141" s="44">
        <f>E142</f>
        <v>11600000</v>
      </c>
      <c r="F141" s="44">
        <f t="shared" ref="F141:F153" si="27">D141+E141</f>
        <v>15200000</v>
      </c>
      <c r="G141" s="7"/>
      <c r="H141" s="2"/>
    </row>
    <row r="142" spans="1:8" ht="21" customHeight="1">
      <c r="A142" s="57"/>
      <c r="B142" s="57"/>
      <c r="C142" s="47" t="s">
        <v>6</v>
      </c>
      <c r="D142" s="68">
        <v>3600000</v>
      </c>
      <c r="E142" s="56">
        <f>12000000-400000</f>
        <v>11600000</v>
      </c>
      <c r="F142" s="56">
        <f t="shared" si="27"/>
        <v>15200000</v>
      </c>
      <c r="G142" s="7"/>
      <c r="H142" s="2"/>
    </row>
    <row r="143" spans="1:8" ht="30.75" customHeight="1">
      <c r="A143" s="76" t="s">
        <v>175</v>
      </c>
      <c r="B143" s="74" t="s">
        <v>174</v>
      </c>
      <c r="C143" s="48" t="s">
        <v>88</v>
      </c>
      <c r="D143" s="46">
        <f>D144</f>
        <v>100103973</v>
      </c>
      <c r="E143" s="44">
        <f>E144</f>
        <v>3400000</v>
      </c>
      <c r="F143" s="44">
        <f t="shared" ref="F143:F144" si="28">D143+E143</f>
        <v>103503973</v>
      </c>
      <c r="G143" s="7"/>
      <c r="H143" s="2"/>
    </row>
    <row r="144" spans="1:8" ht="21" customHeight="1">
      <c r="A144" s="57"/>
      <c r="B144" s="57"/>
      <c r="C144" s="47" t="s">
        <v>6</v>
      </c>
      <c r="D144" s="68">
        <v>100103973</v>
      </c>
      <c r="E144" s="56">
        <f>400000+3000000</f>
        <v>3400000</v>
      </c>
      <c r="F144" s="56">
        <f t="shared" si="28"/>
        <v>103503973</v>
      </c>
      <c r="G144" s="7"/>
      <c r="H144" s="2"/>
    </row>
    <row r="145" spans="1:8" ht="66" customHeight="1">
      <c r="A145" s="76" t="s">
        <v>98</v>
      </c>
      <c r="B145" s="74">
        <v>8800</v>
      </c>
      <c r="C145" s="48" t="s">
        <v>128</v>
      </c>
      <c r="D145" s="46">
        <v>0</v>
      </c>
      <c r="E145" s="44">
        <f>E146</f>
        <v>766851</v>
      </c>
      <c r="F145" s="44">
        <f t="shared" si="27"/>
        <v>766851</v>
      </c>
      <c r="G145" s="7"/>
      <c r="H145" s="2"/>
    </row>
    <row r="146" spans="1:8" ht="21" customHeight="1">
      <c r="A146" s="57"/>
      <c r="B146" s="57"/>
      <c r="C146" s="47" t="s">
        <v>6</v>
      </c>
      <c r="D146" s="68">
        <v>0</v>
      </c>
      <c r="E146" s="56">
        <v>766851</v>
      </c>
      <c r="F146" s="56">
        <f t="shared" ref="F146" si="29">D146+E146</f>
        <v>766851</v>
      </c>
      <c r="G146" s="7"/>
      <c r="H146" s="2"/>
    </row>
    <row r="147" spans="1:8" ht="35.25" customHeight="1">
      <c r="A147" s="76">
        <v>4019110</v>
      </c>
      <c r="B147" s="74">
        <v>9110</v>
      </c>
      <c r="C147" s="48" t="s">
        <v>30</v>
      </c>
      <c r="D147" s="46">
        <v>25616300</v>
      </c>
      <c r="E147" s="44">
        <f>SUM(E148:E149)</f>
        <v>-2177000</v>
      </c>
      <c r="F147" s="44">
        <f t="shared" si="27"/>
        <v>23439300</v>
      </c>
      <c r="G147" s="7"/>
      <c r="H147" s="2"/>
    </row>
    <row r="148" spans="1:8" ht="21.75" customHeight="1">
      <c r="A148" s="57"/>
      <c r="B148" s="57"/>
      <c r="C148" s="47" t="s">
        <v>102</v>
      </c>
      <c r="D148" s="68">
        <v>25116300</v>
      </c>
      <c r="E148" s="56">
        <v>-1677000</v>
      </c>
      <c r="F148" s="56">
        <f t="shared" si="27"/>
        <v>23439300</v>
      </c>
      <c r="G148" s="7"/>
      <c r="H148" s="2"/>
    </row>
    <row r="149" spans="1:8" ht="21" customHeight="1">
      <c r="A149" s="84"/>
      <c r="B149" s="85"/>
      <c r="C149" s="47" t="s">
        <v>103</v>
      </c>
      <c r="D149" s="68">
        <v>500000</v>
      </c>
      <c r="E149" s="56">
        <v>-500000</v>
      </c>
      <c r="F149" s="56">
        <f t="shared" si="27"/>
        <v>0</v>
      </c>
      <c r="G149" s="7"/>
      <c r="H149" s="2"/>
    </row>
    <row r="150" spans="1:8" ht="21.75" customHeight="1">
      <c r="A150" s="76">
        <v>4019120</v>
      </c>
      <c r="B150" s="74">
        <v>9120</v>
      </c>
      <c r="C150" s="48" t="s">
        <v>99</v>
      </c>
      <c r="D150" s="46">
        <v>3780000</v>
      </c>
      <c r="E150" s="44">
        <f>E151</f>
        <v>-680000</v>
      </c>
      <c r="F150" s="44">
        <f t="shared" si="27"/>
        <v>3100000</v>
      </c>
      <c r="G150" s="7"/>
      <c r="H150" s="2"/>
    </row>
    <row r="151" spans="1:8" ht="21" customHeight="1">
      <c r="A151" s="57"/>
      <c r="B151" s="57"/>
      <c r="C151" s="47" t="s">
        <v>101</v>
      </c>
      <c r="D151" s="68">
        <v>3780000</v>
      </c>
      <c r="E151" s="56">
        <v>-680000</v>
      </c>
      <c r="F151" s="56">
        <f t="shared" ref="F151" si="30">D151+E151</f>
        <v>3100000</v>
      </c>
      <c r="G151" s="7"/>
      <c r="H151" s="2"/>
    </row>
    <row r="152" spans="1:8" ht="33.75" customHeight="1">
      <c r="A152" s="76">
        <v>4019130</v>
      </c>
      <c r="B152" s="74">
        <v>9130</v>
      </c>
      <c r="C152" s="48" t="s">
        <v>100</v>
      </c>
      <c r="D152" s="46">
        <v>344300</v>
      </c>
      <c r="E152" s="44">
        <f>E153</f>
        <v>-344300</v>
      </c>
      <c r="F152" s="44">
        <f t="shared" si="27"/>
        <v>0</v>
      </c>
      <c r="G152" s="7"/>
      <c r="H152" s="2"/>
    </row>
    <row r="153" spans="1:8" ht="20.25" customHeight="1">
      <c r="A153" s="57"/>
      <c r="B153" s="57"/>
      <c r="C153" s="47" t="s">
        <v>101</v>
      </c>
      <c r="D153" s="68">
        <v>344300</v>
      </c>
      <c r="E153" s="56">
        <v>-344300</v>
      </c>
      <c r="F153" s="56">
        <f t="shared" si="27"/>
        <v>0</v>
      </c>
      <c r="G153" s="7"/>
      <c r="H153" s="2"/>
    </row>
    <row r="154" spans="1:8" ht="57.75" customHeight="1">
      <c r="A154" s="69">
        <v>4700000</v>
      </c>
      <c r="B154" s="49"/>
      <c r="C154" s="49" t="s">
        <v>12</v>
      </c>
      <c r="D154" s="29">
        <f>D155</f>
        <v>120129066</v>
      </c>
      <c r="E154" s="29">
        <f>E155</f>
        <v>288000</v>
      </c>
      <c r="F154" s="29">
        <f t="shared" ref="F154:F158" si="31">D154+E154</f>
        <v>120417066</v>
      </c>
      <c r="G154" s="7"/>
      <c r="H154" s="7"/>
    </row>
    <row r="155" spans="1:8" ht="54" customHeight="1">
      <c r="A155" s="69">
        <v>4710000</v>
      </c>
      <c r="B155" s="49"/>
      <c r="C155" s="49" t="s">
        <v>12</v>
      </c>
      <c r="D155" s="29">
        <v>120129066</v>
      </c>
      <c r="E155" s="29">
        <f>E157+E159</f>
        <v>288000</v>
      </c>
      <c r="F155" s="29">
        <f t="shared" si="31"/>
        <v>120417066</v>
      </c>
      <c r="G155" s="7"/>
      <c r="H155" s="7"/>
    </row>
    <row r="156" spans="1:8" ht="23.25" customHeight="1">
      <c r="A156" s="70"/>
      <c r="B156" s="67"/>
      <c r="C156" s="67" t="s">
        <v>6</v>
      </c>
      <c r="D156" s="45">
        <v>86005166</v>
      </c>
      <c r="E156" s="45">
        <f>E158+E160</f>
        <v>288000</v>
      </c>
      <c r="F156" s="45">
        <f t="shared" si="31"/>
        <v>86293166</v>
      </c>
      <c r="G156" s="7"/>
      <c r="H156" s="7"/>
    </row>
    <row r="157" spans="1:8" ht="33.75" customHeight="1">
      <c r="A157" s="66">
        <v>4716310</v>
      </c>
      <c r="B157" s="66">
        <v>6310</v>
      </c>
      <c r="C157" s="48" t="s">
        <v>104</v>
      </c>
      <c r="D157" s="46">
        <v>67753166</v>
      </c>
      <c r="E157" s="44">
        <f>E158</f>
        <v>620000</v>
      </c>
      <c r="F157" s="44">
        <f t="shared" si="31"/>
        <v>68373166</v>
      </c>
      <c r="G157" s="7"/>
      <c r="H157" s="7"/>
    </row>
    <row r="158" spans="1:8" ht="19.5" customHeight="1">
      <c r="A158" s="57"/>
      <c r="B158" s="57"/>
      <c r="C158" s="47" t="s">
        <v>6</v>
      </c>
      <c r="D158" s="68">
        <v>67753166</v>
      </c>
      <c r="E158" s="56">
        <f>370000+550000-300000</f>
        <v>620000</v>
      </c>
      <c r="F158" s="56">
        <f t="shared" si="31"/>
        <v>68373166</v>
      </c>
      <c r="G158" s="7"/>
      <c r="H158" s="7"/>
    </row>
    <row r="159" spans="1:8" ht="64.5" customHeight="1">
      <c r="A159" s="66" t="s">
        <v>36</v>
      </c>
      <c r="B159" s="66" t="s">
        <v>37</v>
      </c>
      <c r="C159" s="48" t="s">
        <v>38</v>
      </c>
      <c r="D159" s="46">
        <v>18252000</v>
      </c>
      <c r="E159" s="44">
        <f>E160</f>
        <v>-332000</v>
      </c>
      <c r="F159" s="44">
        <f t="shared" ref="F159:F172" si="32">D159+E159</f>
        <v>17920000</v>
      </c>
      <c r="G159" s="7"/>
      <c r="H159" s="7"/>
    </row>
    <row r="160" spans="1:8" ht="22.5" customHeight="1">
      <c r="A160" s="57"/>
      <c r="B160" s="57"/>
      <c r="C160" s="47" t="s">
        <v>6</v>
      </c>
      <c r="D160" s="68">
        <v>18252000</v>
      </c>
      <c r="E160" s="56">
        <v>-332000</v>
      </c>
      <c r="F160" s="56">
        <f t="shared" si="32"/>
        <v>17920000</v>
      </c>
      <c r="G160" s="7"/>
      <c r="H160" s="7"/>
    </row>
    <row r="161" spans="1:8" ht="38.25" customHeight="1">
      <c r="A161" s="69" t="s">
        <v>105</v>
      </c>
      <c r="B161" s="49"/>
      <c r="C161" s="49" t="s">
        <v>107</v>
      </c>
      <c r="D161" s="29">
        <f>D162</f>
        <v>0</v>
      </c>
      <c r="E161" s="29">
        <f>E162</f>
        <v>3544800</v>
      </c>
      <c r="F161" s="29">
        <f t="shared" si="32"/>
        <v>3544800</v>
      </c>
      <c r="G161" s="7"/>
      <c r="H161" s="7"/>
    </row>
    <row r="162" spans="1:8" ht="39.75" customHeight="1">
      <c r="A162" s="69" t="s">
        <v>106</v>
      </c>
      <c r="B162" s="49"/>
      <c r="C162" s="49" t="s">
        <v>107</v>
      </c>
      <c r="D162" s="29">
        <v>0</v>
      </c>
      <c r="E162" s="29">
        <f>E164+E167+E169+E171+E173</f>
        <v>3544800</v>
      </c>
      <c r="F162" s="29">
        <f t="shared" si="32"/>
        <v>3544800</v>
      </c>
      <c r="G162" s="7"/>
      <c r="H162" s="7"/>
    </row>
    <row r="163" spans="1:8" ht="23.25" customHeight="1">
      <c r="A163" s="70"/>
      <c r="B163" s="67"/>
      <c r="C163" s="67" t="s">
        <v>6</v>
      </c>
      <c r="D163" s="45">
        <v>0</v>
      </c>
      <c r="E163" s="45">
        <f>E174</f>
        <v>332000</v>
      </c>
      <c r="F163" s="45">
        <f t="shared" si="32"/>
        <v>332000</v>
      </c>
      <c r="G163" s="7"/>
      <c r="H163" s="7"/>
    </row>
    <row r="164" spans="1:8" ht="35.25" customHeight="1">
      <c r="A164" s="76" t="s">
        <v>108</v>
      </c>
      <c r="B164" s="74">
        <v>9110</v>
      </c>
      <c r="C164" s="48" t="s">
        <v>30</v>
      </c>
      <c r="D164" s="46">
        <v>0</v>
      </c>
      <c r="E164" s="44">
        <f>SUM(E165:E166)</f>
        <v>2177000</v>
      </c>
      <c r="F164" s="44">
        <f t="shared" si="32"/>
        <v>2177000</v>
      </c>
      <c r="G164" s="7"/>
      <c r="H164" s="7"/>
    </row>
    <row r="165" spans="1:8" ht="18.75" customHeight="1">
      <c r="A165" s="57"/>
      <c r="B165" s="57"/>
      <c r="C165" s="47" t="s">
        <v>102</v>
      </c>
      <c r="D165" s="68">
        <v>0</v>
      </c>
      <c r="E165" s="56">
        <v>1677000</v>
      </c>
      <c r="F165" s="56">
        <f t="shared" si="32"/>
        <v>1677000</v>
      </c>
      <c r="G165" s="7"/>
      <c r="H165" s="7"/>
    </row>
    <row r="166" spans="1:8" ht="24" customHeight="1">
      <c r="A166" s="84"/>
      <c r="B166" s="85"/>
      <c r="C166" s="47" t="s">
        <v>103</v>
      </c>
      <c r="D166" s="68">
        <v>0</v>
      </c>
      <c r="E166" s="56">
        <v>500000</v>
      </c>
      <c r="F166" s="56">
        <f t="shared" si="32"/>
        <v>500000</v>
      </c>
      <c r="G166" s="7"/>
      <c r="H166" s="7"/>
    </row>
    <row r="167" spans="1:8" ht="24" customHeight="1">
      <c r="A167" s="76" t="s">
        <v>109</v>
      </c>
      <c r="B167" s="74">
        <v>9120</v>
      </c>
      <c r="C167" s="48" t="s">
        <v>99</v>
      </c>
      <c r="D167" s="46">
        <v>0</v>
      </c>
      <c r="E167" s="44">
        <f>E168</f>
        <v>680000</v>
      </c>
      <c r="F167" s="44">
        <f t="shared" si="32"/>
        <v>680000</v>
      </c>
      <c r="G167" s="7"/>
      <c r="H167" s="7"/>
    </row>
    <row r="168" spans="1:8" ht="18.75" customHeight="1">
      <c r="A168" s="57"/>
      <c r="B168" s="57"/>
      <c r="C168" s="47" t="s">
        <v>91</v>
      </c>
      <c r="D168" s="68">
        <v>0</v>
      </c>
      <c r="E168" s="56">
        <v>680000</v>
      </c>
      <c r="F168" s="56">
        <f t="shared" si="32"/>
        <v>680000</v>
      </c>
      <c r="G168" s="7"/>
      <c r="H168" s="7"/>
    </row>
    <row r="169" spans="1:8" ht="36" customHeight="1">
      <c r="A169" s="76" t="s">
        <v>110</v>
      </c>
      <c r="B169" s="74">
        <v>9130</v>
      </c>
      <c r="C169" s="48" t="s">
        <v>100</v>
      </c>
      <c r="D169" s="46">
        <v>0</v>
      </c>
      <c r="E169" s="44">
        <f>E170</f>
        <v>344300</v>
      </c>
      <c r="F169" s="44">
        <f t="shared" si="32"/>
        <v>344300</v>
      </c>
      <c r="G169" s="7"/>
      <c r="H169" s="7"/>
    </row>
    <row r="170" spans="1:8" ht="24" customHeight="1">
      <c r="A170" s="57"/>
      <c r="B170" s="57"/>
      <c r="C170" s="47" t="s">
        <v>101</v>
      </c>
      <c r="D170" s="68">
        <v>0</v>
      </c>
      <c r="E170" s="56">
        <v>344300</v>
      </c>
      <c r="F170" s="56">
        <f t="shared" si="32"/>
        <v>344300</v>
      </c>
      <c r="G170" s="7"/>
      <c r="H170" s="7"/>
    </row>
    <row r="171" spans="1:8" ht="37.5" customHeight="1">
      <c r="A171" s="76" t="s">
        <v>126</v>
      </c>
      <c r="B171" s="74">
        <v>9140</v>
      </c>
      <c r="C171" s="87" t="s">
        <v>89</v>
      </c>
      <c r="D171" s="46">
        <v>0</v>
      </c>
      <c r="E171" s="44">
        <f>E172</f>
        <v>11500</v>
      </c>
      <c r="F171" s="44">
        <f t="shared" si="32"/>
        <v>11500</v>
      </c>
      <c r="G171" s="7"/>
      <c r="H171" s="7"/>
    </row>
    <row r="172" spans="1:8" ht="18.75" customHeight="1">
      <c r="A172" s="57"/>
      <c r="B172" s="57"/>
      <c r="C172" s="47" t="s">
        <v>91</v>
      </c>
      <c r="D172" s="68">
        <v>0</v>
      </c>
      <c r="E172" s="56">
        <v>11500</v>
      </c>
      <c r="F172" s="56">
        <f t="shared" si="32"/>
        <v>11500</v>
      </c>
      <c r="G172" s="7"/>
      <c r="H172" s="7"/>
    </row>
    <row r="173" spans="1:8" ht="66" customHeight="1">
      <c r="A173" s="76" t="s">
        <v>127</v>
      </c>
      <c r="B173" s="66" t="s">
        <v>37</v>
      </c>
      <c r="C173" s="48" t="s">
        <v>38</v>
      </c>
      <c r="D173" s="46">
        <v>0</v>
      </c>
      <c r="E173" s="44">
        <f>E174</f>
        <v>332000</v>
      </c>
      <c r="F173" s="44">
        <f t="shared" ref="F173:F179" si="33">D173+E173</f>
        <v>332000</v>
      </c>
      <c r="G173" s="7"/>
      <c r="H173" s="7"/>
    </row>
    <row r="174" spans="1:8" ht="24" customHeight="1">
      <c r="A174" s="57"/>
      <c r="B174" s="57"/>
      <c r="C174" s="47" t="s">
        <v>6</v>
      </c>
      <c r="D174" s="68">
        <v>0</v>
      </c>
      <c r="E174" s="56">
        <v>332000</v>
      </c>
      <c r="F174" s="56">
        <f t="shared" si="33"/>
        <v>332000</v>
      </c>
      <c r="G174" s="7"/>
      <c r="H174" s="7"/>
    </row>
    <row r="175" spans="1:8" ht="36" customHeight="1">
      <c r="A175" s="88">
        <v>7600000</v>
      </c>
      <c r="B175" s="49"/>
      <c r="C175" s="49" t="s">
        <v>77</v>
      </c>
      <c r="D175" s="29">
        <f>D176</f>
        <v>5905807</v>
      </c>
      <c r="E175" s="29">
        <f>E176</f>
        <v>-5905807</v>
      </c>
      <c r="F175" s="29">
        <f t="shared" si="33"/>
        <v>0</v>
      </c>
      <c r="G175" s="7"/>
      <c r="H175" s="7"/>
    </row>
    <row r="176" spans="1:8" ht="37.5" customHeight="1">
      <c r="A176" s="88">
        <v>7610000</v>
      </c>
      <c r="B176" s="49"/>
      <c r="C176" s="49" t="s">
        <v>77</v>
      </c>
      <c r="D176" s="29">
        <f>5905807</f>
        <v>5905807</v>
      </c>
      <c r="E176" s="29">
        <f>E178</f>
        <v>-5905807</v>
      </c>
      <c r="F176" s="29">
        <f t="shared" si="33"/>
        <v>0</v>
      </c>
      <c r="G176" s="7"/>
      <c r="H176" s="7"/>
    </row>
    <row r="177" spans="1:12" ht="24" customHeight="1">
      <c r="A177" s="70"/>
      <c r="B177" s="67"/>
      <c r="C177" s="67" t="s">
        <v>6</v>
      </c>
      <c r="D177" s="45">
        <v>5905807</v>
      </c>
      <c r="E177" s="45">
        <f>E179</f>
        <v>-5905807</v>
      </c>
      <c r="F177" s="45">
        <f>D177+E177</f>
        <v>0</v>
      </c>
      <c r="G177" s="7"/>
      <c r="H177" s="7"/>
    </row>
    <row r="178" spans="1:12" ht="18.75" customHeight="1">
      <c r="A178" s="76" t="s">
        <v>136</v>
      </c>
      <c r="B178" s="74" t="s">
        <v>120</v>
      </c>
      <c r="C178" s="48" t="s">
        <v>78</v>
      </c>
      <c r="D178" s="46">
        <v>5905807</v>
      </c>
      <c r="E178" s="44">
        <f>E179</f>
        <v>-5905807</v>
      </c>
      <c r="F178" s="44">
        <f t="shared" si="33"/>
        <v>0</v>
      </c>
      <c r="G178" s="7"/>
      <c r="H178" s="7"/>
    </row>
    <row r="179" spans="1:12" ht="24" customHeight="1" thickBot="1">
      <c r="A179" s="57"/>
      <c r="B179" s="57"/>
      <c r="C179" s="47" t="s">
        <v>6</v>
      </c>
      <c r="D179" s="68">
        <v>5905807</v>
      </c>
      <c r="E179" s="56">
        <f>-5905807</f>
        <v>-5905807</v>
      </c>
      <c r="F179" s="56">
        <f t="shared" si="33"/>
        <v>0</v>
      </c>
      <c r="G179" s="7"/>
      <c r="H179" s="7"/>
    </row>
    <row r="180" spans="1:12" ht="58.5" customHeight="1" thickBot="1">
      <c r="A180" s="11"/>
      <c r="B180" s="11"/>
      <c r="C180" s="36" t="s">
        <v>32</v>
      </c>
      <c r="D180" s="42">
        <f>D35+D94</f>
        <v>5821556863.4799995</v>
      </c>
      <c r="E180" s="42">
        <f>E35+E94</f>
        <v>59194384</v>
      </c>
      <c r="F180" s="42">
        <f t="shared" ref="F180" si="34">D180+E180</f>
        <v>5880751247.4799995</v>
      </c>
      <c r="G180" s="7"/>
      <c r="H180" s="106"/>
      <c r="I180" s="108"/>
    </row>
    <row r="181" spans="1:12" ht="38.25" customHeight="1" thickBot="1">
      <c r="A181" s="11"/>
      <c r="B181" s="62"/>
      <c r="C181" s="36" t="s">
        <v>10</v>
      </c>
      <c r="D181" s="26">
        <f>D182+D183</f>
        <v>-206261939.52000001</v>
      </c>
      <c r="E181" s="26">
        <f>E182+E183</f>
        <v>-30554107</v>
      </c>
      <c r="F181" s="26">
        <f t="shared" ref="F181:F186" si="35">D181+E181</f>
        <v>-236816046.52000001</v>
      </c>
      <c r="G181" s="7"/>
      <c r="H181" s="2"/>
      <c r="I181" s="71"/>
    </row>
    <row r="182" spans="1:12" ht="67.5" hidden="1" customHeight="1" thickBot="1">
      <c r="A182" s="58"/>
      <c r="B182" s="58"/>
      <c r="C182" s="59" t="s">
        <v>16</v>
      </c>
      <c r="D182" s="60">
        <f>192309002.48</f>
        <v>192309002.47999999</v>
      </c>
      <c r="E182" s="60"/>
      <c r="F182" s="60">
        <f t="shared" si="35"/>
        <v>192309002.47999999</v>
      </c>
      <c r="G182" s="7"/>
      <c r="H182" s="2"/>
      <c r="I182" s="71"/>
    </row>
    <row r="183" spans="1:12" ht="65.25" customHeight="1" thickBot="1">
      <c r="A183" s="22"/>
      <c r="B183" s="65"/>
      <c r="C183" s="39" t="s">
        <v>4</v>
      </c>
      <c r="D183" s="43">
        <f>-398415942-155000</f>
        <v>-398570942</v>
      </c>
      <c r="E183" s="43">
        <f>-E186</f>
        <v>-30554107</v>
      </c>
      <c r="F183" s="43">
        <f t="shared" si="35"/>
        <v>-429125049</v>
      </c>
      <c r="G183" s="7"/>
      <c r="H183" s="2"/>
      <c r="I183" s="71"/>
    </row>
    <row r="184" spans="1:12" ht="38.25" customHeight="1" thickBot="1">
      <c r="A184" s="11"/>
      <c r="B184" s="62"/>
      <c r="C184" s="36" t="s">
        <v>11</v>
      </c>
      <c r="D184" s="26">
        <f>SUM(D185:D186)</f>
        <v>455857807</v>
      </c>
      <c r="E184" s="26">
        <f>SUM(E185:E186)</f>
        <v>30554107</v>
      </c>
      <c r="F184" s="26">
        <f t="shared" si="35"/>
        <v>486411914</v>
      </c>
      <c r="G184" s="7"/>
      <c r="H184" s="2"/>
      <c r="I184" s="71"/>
    </row>
    <row r="185" spans="1:12" ht="72.75" hidden="1" customHeight="1" thickBot="1">
      <c r="A185" s="61"/>
      <c r="B185" s="61"/>
      <c r="C185" s="59" t="s">
        <v>17</v>
      </c>
      <c r="D185" s="60">
        <v>57286865</v>
      </c>
      <c r="E185" s="60"/>
      <c r="F185" s="60">
        <f t="shared" si="35"/>
        <v>57286865</v>
      </c>
      <c r="G185" s="7"/>
      <c r="H185" s="2"/>
      <c r="I185" s="71"/>
      <c r="K185" s="71"/>
    </row>
    <row r="186" spans="1:12" ht="70.5" customHeight="1" thickBot="1">
      <c r="A186" s="22"/>
      <c r="B186" s="65"/>
      <c r="C186" s="39" t="s">
        <v>5</v>
      </c>
      <c r="D186" s="43">
        <f>398415942+155000</f>
        <v>398570942</v>
      </c>
      <c r="E186" s="43">
        <f>E95</f>
        <v>30554107</v>
      </c>
      <c r="F186" s="43">
        <f t="shared" si="35"/>
        <v>429125049</v>
      </c>
      <c r="G186" s="7"/>
      <c r="H186" s="2"/>
      <c r="I186" s="73"/>
    </row>
    <row r="187" spans="1:12" ht="18.75" customHeight="1">
      <c r="A187" s="23"/>
      <c r="B187" s="23"/>
      <c r="C187" s="24"/>
      <c r="D187" s="7"/>
      <c r="E187" s="7"/>
      <c r="F187" s="7"/>
      <c r="G187" s="7"/>
      <c r="H187" s="2"/>
    </row>
    <row r="188" spans="1:12" ht="93.75" customHeight="1">
      <c r="A188" s="109" t="s">
        <v>34</v>
      </c>
      <c r="B188" s="109"/>
      <c r="C188" s="109"/>
      <c r="D188" s="10"/>
      <c r="E188" s="54" t="s">
        <v>35</v>
      </c>
      <c r="F188" s="12"/>
      <c r="G188" s="12"/>
      <c r="H188" s="2"/>
      <c r="J188" s="30"/>
      <c r="K188" s="30"/>
      <c r="L188" s="30"/>
    </row>
    <row r="189" spans="1:12" ht="23.25" customHeight="1">
      <c r="A189" s="15"/>
      <c r="B189" s="15"/>
      <c r="C189" s="13"/>
      <c r="D189" s="10"/>
      <c r="E189" s="14"/>
      <c r="F189" s="12"/>
      <c r="G189" s="12"/>
      <c r="H189" s="2"/>
      <c r="J189" s="30"/>
      <c r="K189" s="30"/>
      <c r="L189" s="30"/>
    </row>
    <row r="190" spans="1:12" ht="20.25">
      <c r="A190" s="10"/>
      <c r="B190" s="10"/>
      <c r="E190" s="10"/>
      <c r="F190" s="5"/>
      <c r="G190" s="5"/>
      <c r="H190" s="2"/>
      <c r="J190" s="30"/>
      <c r="K190" s="30"/>
      <c r="L190" s="30"/>
    </row>
    <row r="191" spans="1:12" ht="18.75">
      <c r="A191" s="8"/>
      <c r="B191" s="8"/>
      <c r="C191" s="9"/>
      <c r="D191" s="5"/>
      <c r="E191" s="5"/>
      <c r="F191" s="5"/>
      <c r="G191" s="5"/>
      <c r="H191" s="2"/>
    </row>
    <row r="192" spans="1:12" ht="18.75">
      <c r="A192" s="8"/>
      <c r="B192" s="8"/>
      <c r="C192" s="9"/>
      <c r="D192" s="5"/>
      <c r="E192" s="25"/>
      <c r="F192" s="5"/>
      <c r="G192" s="5"/>
      <c r="H192" s="2"/>
    </row>
    <row r="193" spans="1:11" ht="18.75">
      <c r="A193" s="8"/>
      <c r="B193" s="8"/>
      <c r="C193" s="9"/>
      <c r="D193" s="5"/>
      <c r="E193" s="5"/>
      <c r="F193" s="5"/>
      <c r="G193" s="5"/>
      <c r="H193" s="2"/>
      <c r="I193" s="32"/>
      <c r="J193" s="32"/>
      <c r="K193" s="32"/>
    </row>
    <row r="194" spans="1:11" ht="18.75">
      <c r="A194" s="8"/>
      <c r="B194" s="8"/>
      <c r="C194" s="9"/>
      <c r="D194" s="5"/>
      <c r="E194" s="5"/>
      <c r="F194" s="5"/>
      <c r="G194" s="5"/>
      <c r="H194" s="2"/>
    </row>
    <row r="195" spans="1:11" ht="18.75">
      <c r="A195" s="8"/>
      <c r="B195" s="8"/>
      <c r="C195" s="9"/>
      <c r="D195" s="5"/>
      <c r="E195" s="5"/>
      <c r="F195" s="5"/>
      <c r="G195" s="5"/>
      <c r="H195" s="2"/>
    </row>
    <row r="196" spans="1:11" ht="18.75">
      <c r="A196" s="8"/>
      <c r="B196" s="8"/>
      <c r="C196" s="9"/>
      <c r="D196" s="5"/>
      <c r="E196" s="5"/>
      <c r="F196" s="5"/>
      <c r="G196" s="5"/>
      <c r="H196" s="2"/>
    </row>
    <row r="197" spans="1:11" ht="18.75">
      <c r="A197" s="8"/>
      <c r="B197" s="8"/>
      <c r="C197" s="9"/>
      <c r="D197" s="5"/>
      <c r="E197" s="5"/>
      <c r="F197" s="5"/>
      <c r="G197" s="5"/>
      <c r="H197" s="2"/>
    </row>
    <row r="198" spans="1:11" ht="18.75">
      <c r="A198" s="8"/>
      <c r="B198" s="8"/>
      <c r="C198" s="9"/>
      <c r="D198" s="5"/>
      <c r="E198" s="5"/>
      <c r="F198" s="5"/>
      <c r="G198" s="5"/>
      <c r="H198" s="2"/>
    </row>
    <row r="199" spans="1:11" ht="18.75">
      <c r="A199" s="8"/>
      <c r="B199" s="8"/>
      <c r="C199" s="9"/>
      <c r="D199" s="5"/>
      <c r="E199" s="5"/>
      <c r="F199" s="5"/>
      <c r="G199" s="5"/>
      <c r="H199" s="2"/>
    </row>
    <row r="200" spans="1:11" ht="18.75">
      <c r="A200" s="8"/>
      <c r="B200" s="8"/>
      <c r="C200" s="9"/>
      <c r="D200" s="5"/>
      <c r="E200" s="5"/>
      <c r="F200" s="5"/>
      <c r="G200" s="5"/>
      <c r="H200" s="2"/>
    </row>
    <row r="201" spans="1:11" ht="18.75">
      <c r="A201" s="8"/>
      <c r="B201" s="8"/>
      <c r="C201" s="9"/>
      <c r="D201" s="5"/>
      <c r="E201" s="5"/>
      <c r="F201" s="5"/>
      <c r="G201" s="5"/>
      <c r="H201" s="2"/>
    </row>
    <row r="202" spans="1:11">
      <c r="A202" s="3"/>
      <c r="B202" s="3"/>
      <c r="C202" s="2"/>
      <c r="H202" s="2"/>
    </row>
    <row r="203" spans="1:11">
      <c r="A203" s="3"/>
      <c r="B203" s="3"/>
      <c r="C203" s="2"/>
      <c r="H203" s="2"/>
    </row>
    <row r="204" spans="1:11">
      <c r="A204" s="3"/>
      <c r="B204" s="3"/>
      <c r="C204" s="2"/>
      <c r="H204" s="2"/>
    </row>
    <row r="205" spans="1:11">
      <c r="A205" s="3"/>
      <c r="B205" s="3"/>
      <c r="C205" s="2"/>
      <c r="H205" s="2"/>
    </row>
    <row r="206" spans="1:11">
      <c r="A206" s="3"/>
      <c r="B206" s="3"/>
      <c r="C206" s="2"/>
      <c r="H206" s="2"/>
    </row>
    <row r="207" spans="1:11">
      <c r="A207" s="3"/>
      <c r="B207" s="3"/>
      <c r="C207" s="2"/>
      <c r="H207" s="2"/>
    </row>
    <row r="208" spans="1:11">
      <c r="A208" s="3"/>
      <c r="B208" s="3"/>
      <c r="C208" s="2"/>
      <c r="H208" s="2"/>
    </row>
    <row r="209" spans="1:8">
      <c r="A209" s="3"/>
      <c r="B209" s="3"/>
      <c r="C209" s="2"/>
      <c r="H209" s="2"/>
    </row>
    <row r="210" spans="1:8">
      <c r="A210" s="3"/>
      <c r="B210" s="3"/>
      <c r="C210" s="2"/>
      <c r="H210" s="2"/>
    </row>
    <row r="211" spans="1:8">
      <c r="A211" s="3"/>
      <c r="B211" s="3"/>
      <c r="C211" s="2"/>
      <c r="H211" s="2"/>
    </row>
    <row r="212" spans="1:8">
      <c r="A212" s="3"/>
      <c r="B212" s="3"/>
      <c r="C212" s="2"/>
      <c r="H212" s="2"/>
    </row>
    <row r="213" spans="1:8">
      <c r="A213" s="3"/>
      <c r="B213" s="3"/>
      <c r="C213" s="2"/>
      <c r="H213" s="2"/>
    </row>
    <row r="214" spans="1:8">
      <c r="A214" s="3"/>
      <c r="B214" s="3"/>
      <c r="C214" s="2"/>
      <c r="H214" s="2"/>
    </row>
    <row r="215" spans="1:8">
      <c r="A215" s="3"/>
      <c r="B215" s="3"/>
      <c r="C215" s="2"/>
      <c r="H215" s="2"/>
    </row>
    <row r="216" spans="1:8">
      <c r="A216" s="3"/>
      <c r="B216" s="3"/>
      <c r="C216" s="2"/>
      <c r="H216" s="2"/>
    </row>
    <row r="217" spans="1:8">
      <c r="A217" s="3"/>
      <c r="B217" s="3"/>
      <c r="C217" s="2"/>
      <c r="H217" s="2"/>
    </row>
    <row r="218" spans="1:8">
      <c r="A218" s="3"/>
      <c r="B218" s="3"/>
      <c r="C218" s="2"/>
      <c r="H218" s="2"/>
    </row>
    <row r="219" spans="1:8">
      <c r="A219" s="3"/>
      <c r="B219" s="3"/>
      <c r="C219" s="2"/>
      <c r="H219" s="2"/>
    </row>
    <row r="220" spans="1:8">
      <c r="A220" s="3"/>
      <c r="B220" s="3"/>
      <c r="C220" s="2"/>
      <c r="H220" s="2"/>
    </row>
    <row r="221" spans="1:8">
      <c r="A221" s="3"/>
      <c r="B221" s="3"/>
      <c r="C221" s="2"/>
      <c r="H221" s="2"/>
    </row>
    <row r="222" spans="1:8">
      <c r="A222" s="3"/>
      <c r="B222" s="3"/>
      <c r="C222" s="2"/>
      <c r="H222" s="2"/>
    </row>
    <row r="223" spans="1:8">
      <c r="A223" s="3"/>
      <c r="B223" s="3"/>
      <c r="C223" s="2"/>
      <c r="H223" s="2"/>
    </row>
    <row r="224" spans="1:8">
      <c r="A224" s="3"/>
      <c r="B224" s="3"/>
      <c r="C224" s="2"/>
      <c r="H224" s="2"/>
    </row>
    <row r="225" spans="1:8">
      <c r="A225" s="3"/>
      <c r="B225" s="3"/>
      <c r="C225" s="2"/>
      <c r="H225" s="2"/>
    </row>
    <row r="226" spans="1:8">
      <c r="A226" s="3"/>
      <c r="B226" s="3"/>
      <c r="C226" s="2"/>
      <c r="H226" s="2"/>
    </row>
    <row r="227" spans="1:8">
      <c r="A227" s="3"/>
      <c r="B227" s="3"/>
      <c r="C227" s="2"/>
      <c r="H227" s="2"/>
    </row>
    <row r="228" spans="1:8">
      <c r="A228" s="3"/>
      <c r="B228" s="3"/>
      <c r="C228" s="2"/>
      <c r="H228" s="2"/>
    </row>
    <row r="229" spans="1:8">
      <c r="A229" s="3"/>
      <c r="B229" s="3"/>
      <c r="C229" s="2"/>
      <c r="H229" s="2"/>
    </row>
    <row r="230" spans="1:8">
      <c r="A230" s="3"/>
      <c r="B230" s="3"/>
      <c r="C230" s="2"/>
      <c r="H230" s="2"/>
    </row>
    <row r="231" spans="1:8">
      <c r="A231" s="3"/>
      <c r="B231" s="3"/>
      <c r="C231" s="2"/>
      <c r="H231" s="2"/>
    </row>
    <row r="232" spans="1:8">
      <c r="A232" s="3"/>
      <c r="B232" s="3"/>
      <c r="C232" s="2"/>
    </row>
    <row r="233" spans="1:8">
      <c r="A233" s="3"/>
      <c r="B233" s="3"/>
      <c r="C233" s="2"/>
    </row>
    <row r="234" spans="1:8">
      <c r="A234" s="3"/>
      <c r="B234" s="3"/>
      <c r="C234" s="2"/>
    </row>
    <row r="235" spans="1:8">
      <c r="A235" s="3"/>
      <c r="B235" s="3"/>
      <c r="C235" s="2"/>
    </row>
    <row r="236" spans="1:8">
      <c r="A236" s="3"/>
      <c r="B236" s="3"/>
      <c r="C236" s="2"/>
    </row>
    <row r="237" spans="1:8">
      <c r="A237" s="3"/>
      <c r="B237" s="3"/>
      <c r="C237" s="2"/>
    </row>
    <row r="238" spans="1:8">
      <c r="A238" s="3"/>
      <c r="B238" s="3"/>
      <c r="C238" s="2"/>
    </row>
    <row r="239" spans="1:8">
      <c r="A239" s="3"/>
      <c r="B239" s="3"/>
      <c r="C239" s="2"/>
    </row>
    <row r="240" spans="1:8">
      <c r="A240" s="3"/>
      <c r="B240" s="3"/>
      <c r="C240" s="2"/>
    </row>
    <row r="241" spans="1:3">
      <c r="A241" s="3"/>
      <c r="B241" s="3"/>
      <c r="C241" s="2"/>
    </row>
    <row r="242" spans="1:3">
      <c r="A242" s="3"/>
      <c r="B242" s="3"/>
      <c r="C242" s="2"/>
    </row>
    <row r="243" spans="1:3">
      <c r="A243" s="3"/>
      <c r="B243" s="3"/>
      <c r="C243" s="2"/>
    </row>
    <row r="244" spans="1:3">
      <c r="A244" s="3"/>
      <c r="B244" s="3"/>
      <c r="C244" s="2"/>
    </row>
    <row r="245" spans="1:3">
      <c r="A245" s="3"/>
      <c r="B245" s="3"/>
      <c r="C245" s="2"/>
    </row>
    <row r="246" spans="1:3">
      <c r="A246" s="3"/>
      <c r="B246" s="3"/>
      <c r="C246" s="2"/>
    </row>
    <row r="247" spans="1:3">
      <c r="A247" s="3"/>
      <c r="B247" s="3"/>
      <c r="C247" s="2"/>
    </row>
    <row r="248" spans="1:3">
      <c r="A248" s="3"/>
      <c r="B248" s="3"/>
      <c r="C248" s="2"/>
    </row>
    <row r="249" spans="1:3">
      <c r="A249" s="3"/>
      <c r="B249" s="3"/>
      <c r="C249" s="2"/>
    </row>
    <row r="250" spans="1:3">
      <c r="A250" s="3"/>
      <c r="B250" s="3"/>
      <c r="C250" s="2"/>
    </row>
    <row r="251" spans="1:3">
      <c r="A251" s="3"/>
      <c r="B251" s="3"/>
      <c r="C251" s="2"/>
    </row>
    <row r="252" spans="1:3">
      <c r="A252" s="3"/>
      <c r="B252" s="3"/>
      <c r="C252" s="2"/>
    </row>
    <row r="253" spans="1:3">
      <c r="A253" s="3"/>
      <c r="B253" s="3"/>
      <c r="C253" s="2"/>
    </row>
    <row r="254" spans="1:3">
      <c r="A254" s="3"/>
      <c r="B254" s="3"/>
      <c r="C254" s="2"/>
    </row>
    <row r="255" spans="1:3">
      <c r="A255" s="3"/>
      <c r="B255" s="3"/>
      <c r="C255" s="2"/>
    </row>
    <row r="256" spans="1:3">
      <c r="A256" s="3"/>
      <c r="B256" s="3"/>
      <c r="C256" s="2"/>
    </row>
    <row r="257" spans="1:3">
      <c r="A257" s="3"/>
      <c r="B257" s="3"/>
      <c r="C257" s="2"/>
    </row>
    <row r="258" spans="1:3">
      <c r="A258" s="3"/>
      <c r="B258" s="3"/>
      <c r="C258" s="2"/>
    </row>
    <row r="259" spans="1:3">
      <c r="A259" s="3"/>
      <c r="B259" s="3"/>
      <c r="C259" s="2"/>
    </row>
    <row r="260" spans="1:3">
      <c r="A260" s="3"/>
      <c r="B260" s="3"/>
      <c r="C260" s="2"/>
    </row>
    <row r="261" spans="1:3">
      <c r="A261" s="3"/>
      <c r="B261" s="3"/>
      <c r="C261" s="2"/>
    </row>
    <row r="262" spans="1:3">
      <c r="A262" s="3"/>
      <c r="B262" s="3"/>
      <c r="C262" s="2"/>
    </row>
    <row r="263" spans="1:3">
      <c r="A263" s="3"/>
      <c r="B263" s="3"/>
      <c r="C263" s="2"/>
    </row>
    <row r="264" spans="1:3">
      <c r="A264" s="3"/>
      <c r="B264" s="3"/>
      <c r="C264" s="2"/>
    </row>
    <row r="265" spans="1:3">
      <c r="A265" s="3"/>
      <c r="B265" s="3"/>
      <c r="C265" s="2"/>
    </row>
    <row r="266" spans="1:3">
      <c r="A266" s="3"/>
      <c r="B266" s="3"/>
    </row>
    <row r="267" spans="1:3">
      <c r="A267" s="3"/>
      <c r="B267" s="3"/>
    </row>
    <row r="268" spans="1:3">
      <c r="A268" s="3"/>
      <c r="B268" s="3"/>
    </row>
    <row r="269" spans="1:3">
      <c r="A269" s="3"/>
      <c r="B269" s="3"/>
    </row>
    <row r="270" spans="1:3">
      <c r="A270" s="3"/>
      <c r="B270" s="3"/>
    </row>
    <row r="271" spans="1:3">
      <c r="A271" s="3"/>
      <c r="B271" s="3"/>
    </row>
    <row r="272" spans="1:3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</sheetData>
  <mergeCells count="8">
    <mergeCell ref="A188:C188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18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2017-04-14T08:15:34Z</cp:lastPrinted>
  <dcterms:created xsi:type="dcterms:W3CDTF">2005-04-08T06:14:05Z</dcterms:created>
  <dcterms:modified xsi:type="dcterms:W3CDTF">2017-04-21T11:13:23Z</dcterms:modified>
</cp:coreProperties>
</file>