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1340" windowHeight="6030" tabRatio="602"/>
  </bookViews>
  <sheets>
    <sheet name="додаток" sheetId="4" r:id="rId1"/>
  </sheets>
  <definedNames>
    <definedName name="_xlnm.Print_Titles" localSheetId="0">додаток!$9:$9</definedName>
    <definedName name="_xlnm.Print_Area" localSheetId="0">додаток!$A$1:$F$218</definedName>
  </definedNames>
  <calcPr calcId="124519"/>
</workbook>
</file>

<file path=xl/calcChain.xml><?xml version="1.0" encoding="utf-8"?>
<calcChain xmlns="http://schemas.openxmlformats.org/spreadsheetml/2006/main">
  <c r="G70" i="4"/>
  <c r="I215" s="1"/>
  <c r="K215"/>
  <c r="H118"/>
  <c r="I211"/>
  <c r="E216" l="1"/>
  <c r="E213"/>
  <c r="E212"/>
  <c r="E162"/>
  <c r="E186"/>
  <c r="D113" l="1"/>
  <c r="E179" l="1"/>
  <c r="E167"/>
  <c r="E181"/>
  <c r="E180"/>
  <c r="F181"/>
  <c r="F180"/>
  <c r="G94"/>
  <c r="E98"/>
  <c r="E89"/>
  <c r="E99"/>
  <c r="F99" s="1"/>
  <c r="I212"/>
  <c r="I216"/>
  <c r="E164" l="1"/>
  <c r="E215"/>
  <c r="E198"/>
  <c r="E184"/>
  <c r="E110"/>
  <c r="F186"/>
  <c r="E185"/>
  <c r="F185" s="1"/>
  <c r="E192"/>
  <c r="E197"/>
  <c r="F197" s="1"/>
  <c r="E199"/>
  <c r="F198"/>
  <c r="F199"/>
  <c r="E43"/>
  <c r="E105"/>
  <c r="E183" l="1"/>
  <c r="F184"/>
  <c r="E108"/>
  <c r="F110"/>
  <c r="E55" l="1"/>
  <c r="D56"/>
  <c r="F56"/>
  <c r="E52"/>
  <c r="D53"/>
  <c r="F53" s="1"/>
  <c r="E49"/>
  <c r="E50"/>
  <c r="F50"/>
  <c r="E46"/>
  <c r="E47"/>
  <c r="D47"/>
  <c r="F47"/>
  <c r="E44"/>
  <c r="E31"/>
  <c r="E32"/>
  <c r="E26" s="1"/>
  <c r="F26" s="1"/>
  <c r="F29"/>
  <c r="E135"/>
  <c r="F135" s="1"/>
  <c r="E134"/>
  <c r="E133" s="1"/>
  <c r="F133" s="1"/>
  <c r="E209"/>
  <c r="F209" s="1"/>
  <c r="D205"/>
  <c r="E111"/>
  <c r="D106"/>
  <c r="E144"/>
  <c r="E87"/>
  <c r="F87"/>
  <c r="E79"/>
  <c r="E78" s="1"/>
  <c r="E118"/>
  <c r="E95"/>
  <c r="F95"/>
  <c r="E93"/>
  <c r="E94"/>
  <c r="E126"/>
  <c r="E124" s="1"/>
  <c r="E163"/>
  <c r="F162"/>
  <c r="E175"/>
  <c r="E174" s="1"/>
  <c r="F174" s="1"/>
  <c r="F175"/>
  <c r="E96"/>
  <c r="F96"/>
  <c r="E204"/>
  <c r="E202" s="1"/>
  <c r="F202" s="1"/>
  <c r="E70"/>
  <c r="E14"/>
  <c r="F16"/>
  <c r="D136"/>
  <c r="D139"/>
  <c r="E203"/>
  <c r="E201" s="1"/>
  <c r="F204"/>
  <c r="E177"/>
  <c r="F177" s="1"/>
  <c r="E176"/>
  <c r="F176"/>
  <c r="F179"/>
  <c r="E178"/>
  <c r="E166" s="1"/>
  <c r="F178"/>
  <c r="E171"/>
  <c r="F167"/>
  <c r="E169"/>
  <c r="E168" s="1"/>
  <c r="E170"/>
  <c r="F170" s="1"/>
  <c r="F169"/>
  <c r="E92"/>
  <c r="F92"/>
  <c r="E190"/>
  <c r="E189"/>
  <c r="E188"/>
  <c r="E187"/>
  <c r="E196"/>
  <c r="E195" s="1"/>
  <c r="F195" s="1"/>
  <c r="E194"/>
  <c r="E193" s="1"/>
  <c r="E172"/>
  <c r="D172"/>
  <c r="F105"/>
  <c r="D103"/>
  <c r="E102"/>
  <c r="E101" s="1"/>
  <c r="F98"/>
  <c r="E97"/>
  <c r="F97"/>
  <c r="E90"/>
  <c r="F90" s="1"/>
  <c r="E121"/>
  <c r="E120"/>
  <c r="E23"/>
  <c r="E22"/>
  <c r="F118"/>
  <c r="E21"/>
  <c r="E20"/>
  <c r="F20"/>
  <c r="E75"/>
  <c r="F75"/>
  <c r="E146"/>
  <c r="E145"/>
  <c r="E73"/>
  <c r="F73"/>
  <c r="E72"/>
  <c r="F72"/>
  <c r="E71"/>
  <c r="F71"/>
  <c r="E159"/>
  <c r="E86"/>
  <c r="E85" s="1"/>
  <c r="E125"/>
  <c r="F44"/>
  <c r="E41"/>
  <c r="F41" s="1"/>
  <c r="E40"/>
  <c r="F40" s="1"/>
  <c r="E38"/>
  <c r="F38" s="1"/>
  <c r="E37"/>
  <c r="F37" s="1"/>
  <c r="E35"/>
  <c r="F35"/>
  <c r="E34"/>
  <c r="F34"/>
  <c r="F32"/>
  <c r="E74"/>
  <c r="D74"/>
  <c r="E211"/>
  <c r="E149"/>
  <c r="F149"/>
  <c r="E150"/>
  <c r="E148"/>
  <c r="D150"/>
  <c r="D147"/>
  <c r="F151"/>
  <c r="D82"/>
  <c r="F83"/>
  <c r="E82"/>
  <c r="E13"/>
  <c r="F15"/>
  <c r="E81"/>
  <c r="E80"/>
  <c r="F23"/>
  <c r="D22"/>
  <c r="D213"/>
  <c r="D211" s="1"/>
  <c r="D216"/>
  <c r="D214"/>
  <c r="F215"/>
  <c r="E139"/>
  <c r="E138"/>
  <c r="D119"/>
  <c r="D200"/>
  <c r="F196"/>
  <c r="F194"/>
  <c r="F190"/>
  <c r="D100"/>
  <c r="F102"/>
  <c r="F94"/>
  <c r="F93"/>
  <c r="E155"/>
  <c r="E154"/>
  <c r="E62"/>
  <c r="D63"/>
  <c r="D62" s="1"/>
  <c r="F62" s="1"/>
  <c r="E67"/>
  <c r="F67" s="1"/>
  <c r="E66"/>
  <c r="F66"/>
  <c r="E128"/>
  <c r="E127"/>
  <c r="F127" s="1"/>
  <c r="E132"/>
  <c r="E131" s="1"/>
  <c r="E59"/>
  <c r="D59"/>
  <c r="D58"/>
  <c r="F58" s="1"/>
  <c r="E57"/>
  <c r="F57" s="1"/>
  <c r="F55"/>
  <c r="E54"/>
  <c r="F54"/>
  <c r="F52"/>
  <c r="E51"/>
  <c r="F51" s="1"/>
  <c r="F49"/>
  <c r="E48"/>
  <c r="F48"/>
  <c r="F46"/>
  <c r="F43"/>
  <c r="E42"/>
  <c r="F42"/>
  <c r="E39"/>
  <c r="F39"/>
  <c r="E36"/>
  <c r="F36"/>
  <c r="F31"/>
  <c r="E30"/>
  <c r="E27" s="1"/>
  <c r="F27" s="1"/>
  <c r="D182"/>
  <c r="F173"/>
  <c r="D165"/>
  <c r="D88"/>
  <c r="F160"/>
  <c r="F159"/>
  <c r="D156"/>
  <c r="D122"/>
  <c r="F45"/>
  <c r="F33"/>
  <c r="D84"/>
  <c r="D154"/>
  <c r="D152"/>
  <c r="D80"/>
  <c r="F80" s="1"/>
  <c r="D76"/>
  <c r="F81"/>
  <c r="D138"/>
  <c r="D65"/>
  <c r="D61"/>
  <c r="D60"/>
  <c r="F64"/>
  <c r="D17"/>
  <c r="D210" s="1"/>
  <c r="D112"/>
  <c r="F21"/>
  <c r="F212"/>
  <c r="F70"/>
  <c r="D129"/>
  <c r="F14"/>
  <c r="F216"/>
  <c r="F171"/>
  <c r="F30"/>
  <c r="F128"/>
  <c r="E117"/>
  <c r="F117" s="1"/>
  <c r="F188"/>
  <c r="F74"/>
  <c r="F172"/>
  <c r="F213"/>
  <c r="E58"/>
  <c r="E214"/>
  <c r="F214" s="1"/>
  <c r="F146"/>
  <c r="E104"/>
  <c r="F104" s="1"/>
  <c r="E142"/>
  <c r="F142"/>
  <c r="F139"/>
  <c r="F144"/>
  <c r="F86"/>
  <c r="F121"/>
  <c r="F150"/>
  <c r="E143"/>
  <c r="F143" s="1"/>
  <c r="E91"/>
  <c r="F91" s="1"/>
  <c r="F82"/>
  <c r="E69"/>
  <c r="F69"/>
  <c r="F126"/>
  <c r="E65"/>
  <c r="E61"/>
  <c r="F187"/>
  <c r="F63"/>
  <c r="F59"/>
  <c r="E116"/>
  <c r="F116" s="1"/>
  <c r="E141"/>
  <c r="E140" s="1"/>
  <c r="F145"/>
  <c r="F65"/>
  <c r="F155"/>
  <c r="E153"/>
  <c r="F154"/>
  <c r="F13"/>
  <c r="E12"/>
  <c r="F125"/>
  <c r="F189"/>
  <c r="I213"/>
  <c r="F138"/>
  <c r="E137"/>
  <c r="E182"/>
  <c r="F182" s="1"/>
  <c r="F183"/>
  <c r="E152"/>
  <c r="F152"/>
  <c r="F153"/>
  <c r="E136"/>
  <c r="F136" s="1"/>
  <c r="F137"/>
  <c r="E11"/>
  <c r="E10" s="1"/>
  <c r="F10" s="1"/>
  <c r="F12"/>
  <c r="E207"/>
  <c r="F207"/>
  <c r="F148"/>
  <c r="E147"/>
  <c r="F147" s="1"/>
  <c r="E119"/>
  <c r="F120"/>
  <c r="F61"/>
  <c r="E60"/>
  <c r="F60"/>
  <c r="E19"/>
  <c r="F22"/>
  <c r="F11"/>
  <c r="F141"/>
  <c r="E68"/>
  <c r="F68" s="1"/>
  <c r="F203"/>
  <c r="E161"/>
  <c r="F161" s="1"/>
  <c r="F79"/>
  <c r="E103"/>
  <c r="E88"/>
  <c r="F88" s="1"/>
  <c r="F89"/>
  <c r="F19"/>
  <c r="E18"/>
  <c r="E115"/>
  <c r="F119"/>
  <c r="F103"/>
  <c r="F18"/>
  <c r="E114"/>
  <c r="F115"/>
  <c r="F114"/>
  <c r="F211" l="1"/>
  <c r="E84"/>
  <c r="F84" s="1"/>
  <c r="F85"/>
  <c r="E100"/>
  <c r="F100" s="1"/>
  <c r="F101"/>
  <c r="F140"/>
  <c r="F131"/>
  <c r="E130"/>
  <c r="F193"/>
  <c r="I214"/>
  <c r="F168"/>
  <c r="E200"/>
  <c r="F200" s="1"/>
  <c r="F201"/>
  <c r="F163"/>
  <c r="E157"/>
  <c r="F124"/>
  <c r="F78"/>
  <c r="E77"/>
  <c r="F108"/>
  <c r="E107"/>
  <c r="F132"/>
  <c r="E158"/>
  <c r="F111"/>
  <c r="E208"/>
  <c r="F134"/>
  <c r="E28"/>
  <c r="F164"/>
  <c r="F158" l="1"/>
  <c r="E113"/>
  <c r="F113" s="1"/>
  <c r="E25"/>
  <c r="F28"/>
  <c r="F208"/>
  <c r="E206"/>
  <c r="F107"/>
  <c r="E106"/>
  <c r="F106" s="1"/>
  <c r="F77"/>
  <c r="E76"/>
  <c r="F76" s="1"/>
  <c r="E156"/>
  <c r="F156" s="1"/>
  <c r="F157"/>
  <c r="E165"/>
  <c r="F165" s="1"/>
  <c r="F166"/>
  <c r="E191"/>
  <c r="F191" s="1"/>
  <c r="F192"/>
  <c r="E129"/>
  <c r="F130"/>
  <c r="F206" l="1"/>
  <c r="E205"/>
  <c r="F205" s="1"/>
  <c r="F129"/>
  <c r="E123"/>
  <c r="E24"/>
  <c r="F25"/>
  <c r="E122" l="1"/>
  <c r="F123"/>
  <c r="F24"/>
  <c r="G24"/>
  <c r="E17"/>
  <c r="F17" l="1"/>
  <c r="F122"/>
  <c r="E112"/>
  <c r="F112" s="1"/>
  <c r="E210" l="1"/>
  <c r="F210" s="1"/>
</calcChain>
</file>

<file path=xl/sharedStrings.xml><?xml version="1.0" encoding="utf-8"?>
<sst xmlns="http://schemas.openxmlformats.org/spreadsheetml/2006/main" count="318" uniqueCount="174">
  <si>
    <t>грн.</t>
  </si>
  <si>
    <t>Показники бюджету</t>
  </si>
  <si>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</si>
  <si>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</si>
  <si>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</si>
  <si>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</si>
  <si>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</si>
  <si>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Благоустрій міст, сіл, селищ</t>
  </si>
  <si>
    <t>Управління благоустрою та житлової політики виконкому Криворізької міської ради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</si>
  <si>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</si>
  <si>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</si>
  <si>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</si>
  <si>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</si>
  <si>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>Управління праці та соціального захисту населення виконкому Криворізької міської ради</t>
  </si>
  <si>
    <t>Управління капітального будівництва виконкому Криворізької міської ради</t>
  </si>
  <si>
    <t>Інші видатки</t>
  </si>
  <si>
    <t xml:space="preserve">Проект унесення змін до показників міського бюджету на 2017 рік </t>
  </si>
  <si>
    <t xml:space="preserve">Затверджено на 2017 рік </t>
  </si>
  <si>
    <t>Уточнені показники на 2017 рік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</si>
  <si>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01.01.2017</t>
  </si>
  <si>
    <t xml:space="preserve"> - дефіцит за рахунок розподілу залишків коштів, що склалися на рахунках спеціального фонду міського бюджету станом на 01.01.2017</t>
  </si>
  <si>
    <t>Виконавчий комітет Криворізької міської ради</t>
  </si>
  <si>
    <t>0300000</t>
  </si>
  <si>
    <t>0310000</t>
  </si>
  <si>
    <t>Управління освіти і науки виконкому Криворізької міської ради</t>
  </si>
  <si>
    <t>1000000</t>
  </si>
  <si>
    <t>1010000</t>
  </si>
  <si>
    <t>Код  програмної класифікації видатків та кредитування місцевого бюджету</t>
  </si>
  <si>
    <t>0318600</t>
  </si>
  <si>
    <t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та їх виконавчих комітетів</t>
  </si>
  <si>
    <t>0310170</t>
  </si>
  <si>
    <t>0170</t>
  </si>
  <si>
    <t>Інші субвенції</t>
  </si>
  <si>
    <t>у тому числі субвенція з міського бюджету районним у місті бюджетам на фінансування проектів-переможців конкурсу місцевого розвитку "Громадський бюджет" у 2017 році</t>
  </si>
  <si>
    <t>Управління містобудування, архітектури та земельних відносин виконкому Криворізької міської ради</t>
  </si>
  <si>
    <t>у тому числі видатки розвитку</t>
  </si>
  <si>
    <t>Комітет у справах сім'ї і молоді виконкому Криворізької  міської ради</t>
  </si>
  <si>
    <t>Надання та повернення пільгового довгострокового кредиту на будівництво (реконструкцію) та придбання житла</t>
  </si>
  <si>
    <t>Витрати, пов'язані з наданням та обслуговуванням пільгових довгострокових кредитів, наданих громадянам на будівництво (реконструкцію) та придбання житла</t>
  </si>
  <si>
    <t xml:space="preserve">Надання пільгового довгострокового кредиту громадянам на будівництво(реконструкцію) та придбання житла  </t>
  </si>
  <si>
    <t>Управління охорони  здоров'я виконкому Криворізької міської ради</t>
  </si>
  <si>
    <t xml:space="preserve">Багатопрофільна стаціонарна медична допомога населенню </t>
  </si>
  <si>
    <t>2010</t>
  </si>
  <si>
    <t>Первинна медична допомога населенню</t>
  </si>
  <si>
    <t>Соціальний захист ветеранів війни та праці</t>
  </si>
  <si>
    <t>Надання фінансової підтримки громадським організаціям інвалідів і ветеранів, діяльність яких має соціальну спрямованість</t>
  </si>
  <si>
    <t>1513200</t>
  </si>
  <si>
    <t>1513202</t>
  </si>
  <si>
    <t>Служба у справах дітей виконкому Криворізької міської ради</t>
  </si>
  <si>
    <t>у тому числі видатки споживання</t>
  </si>
  <si>
    <t>Проведення заходів із землеустрою</t>
  </si>
  <si>
    <t>Управління культури виконкому Криворізької міської ради</t>
  </si>
  <si>
    <t>Дошкільна освіта</t>
  </si>
  <si>
    <t>Надання загальної середньої освіти загальноосвітніми навчальними закладами (в т.ч. школою – дитячим садком, інтернатом при школі), спеціалізованими школами, ліцеями, гімназіями, колегіумами</t>
  </si>
  <si>
    <t>Надання загальної середньої освіти вечiрнiми (змінними) школами</t>
  </si>
  <si>
    <t>1011010</t>
  </si>
  <si>
    <t>1011020</t>
  </si>
  <si>
    <t>1011030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</si>
  <si>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</si>
  <si>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 xml:space="preserve"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 </t>
  </si>
  <si>
    <t>Надання позашкільної освіти позашкільними закладами освіти, заходи із позашкільної роботи з дітьми</t>
  </si>
  <si>
    <t>1011040</t>
  </si>
  <si>
    <t>1011070</t>
  </si>
  <si>
    <t>1011090</t>
  </si>
  <si>
    <t xml:space="preserve">Методичне забезпечення діяльності навчальних закладів та інші заходи в галузі освіти </t>
  </si>
  <si>
    <t xml:space="preserve">Централізоване ведення бухгалтерського обліку </t>
  </si>
  <si>
    <t xml:space="preserve">Здійснення  централізованого господарського обслуговування </t>
  </si>
  <si>
    <t xml:space="preserve">Утримання інших закладів освіти </t>
  </si>
  <si>
    <t>1011170</t>
  </si>
  <si>
    <t>1011190</t>
  </si>
  <si>
    <t>1011200</t>
  </si>
  <si>
    <t>1011210</t>
  </si>
  <si>
    <t>комунальні послуги та енергоносії</t>
  </si>
  <si>
    <t>з них комунальні послуги та енергоносії</t>
  </si>
  <si>
    <t>Охорона та раціональне використання природних ресурсів</t>
  </si>
  <si>
    <t>з них оплата праці</t>
  </si>
  <si>
    <t xml:space="preserve"> комунальні послуги та енергоносії</t>
  </si>
  <si>
    <t>Інші субвенції, у тому числі субвенція з міського бюджету районним у місті бюджетам на фінансування проектів-переможців конкурсу місцевого розвитку "Громадський бюджет" у 2017 році</t>
  </si>
  <si>
    <t>Театри</t>
  </si>
  <si>
    <t>Реалізація державної політики у молодіжній сфері</t>
  </si>
  <si>
    <t>Здійснення заходів та реалізація проектів на виконання Державної цільової соціальної програми «Молодь України»</t>
  </si>
  <si>
    <t>1113143</t>
  </si>
  <si>
    <t>3143</t>
  </si>
  <si>
    <t>Фінансова підтримка об’єктів комунального господарства</t>
  </si>
  <si>
    <t>Забезпечення функціонування водопровідно-каналізаційного господарства</t>
  </si>
  <si>
    <t>Утримання та розвиток інфраструктури доріг</t>
  </si>
  <si>
    <t>Інші заходи, пов'язані з економічною діяльністю</t>
  </si>
  <si>
    <t>Розробка схем та проектних рішень масового застосування</t>
  </si>
  <si>
    <t>Внески до статутного капіталу суб’єктів господарювання</t>
  </si>
  <si>
    <t>Ліквідація іншого забруднення навколишнього природного середовища</t>
  </si>
  <si>
    <t>4819110</t>
  </si>
  <si>
    <t xml:space="preserve">Відділ транспорту і зв'язку виконкому Криворізької міської ради </t>
  </si>
  <si>
    <t>Зв’язок, телекомунікації та інформатика</t>
  </si>
  <si>
    <t>Національна програма інформатизації</t>
  </si>
  <si>
    <t>0316660</t>
  </si>
  <si>
    <t>0316662</t>
  </si>
  <si>
    <t xml:space="preserve">            до рішення виконкому міської ради </t>
  </si>
  <si>
    <t xml:space="preserve">             Додаток 1</t>
  </si>
  <si>
    <t>Видатки та кредитування загального та спеціального фондів разом:</t>
  </si>
  <si>
    <t>Доходи загального фонду, разом:</t>
  </si>
  <si>
    <t>Офіційні трансферти (розшифровуються за видами трансфертів та бюджетів)</t>
  </si>
  <si>
    <t xml:space="preserve">Від органів державного управління </t>
  </si>
  <si>
    <t>Субвенції</t>
  </si>
  <si>
    <t>Код доходів, код ТПКВКМБ /
ТКВКБМС</t>
  </si>
  <si>
    <t>40000000</t>
  </si>
  <si>
    <t>41000000</t>
  </si>
  <si>
    <t>Інші субвенції, у тому числі:</t>
  </si>
  <si>
    <t>41035000</t>
  </si>
  <si>
    <t xml:space="preserve"> - на проведення досліджень та надання медичної допомоги мешканцям селищної ради</t>
  </si>
  <si>
    <t>8800</t>
  </si>
  <si>
    <t>1518800</t>
  </si>
  <si>
    <t>кредитув</t>
  </si>
  <si>
    <t>еколог</t>
  </si>
  <si>
    <t>БР</t>
  </si>
  <si>
    <t>загальн</t>
  </si>
  <si>
    <t>зал</t>
  </si>
  <si>
    <t>Лікарсько-акушерська допомога  вагітним, породіллям та новонародженим</t>
  </si>
  <si>
    <t>2050</t>
  </si>
  <si>
    <t xml:space="preserve">Надання стоматологічної допомоги населенню </t>
  </si>
  <si>
    <t>2140</t>
  </si>
  <si>
    <t>субв</t>
  </si>
  <si>
    <t>1418800</t>
  </si>
  <si>
    <t xml:space="preserve">у тому числі субвенція з міського бюджету до обласного  бюджету на  оплату послуг з приєднання електричних мереж амбулаторій центрів первинної медико-санітарної допомоги міста Кривого Рогу  до мереж електропостачальної організації в рамках реалізації субпроекту «Підтримка реформування охорони здоров'я Дніпропетровської області» </t>
  </si>
  <si>
    <t xml:space="preserve">Забезпечення надійного та безперебійного функціонування житлово-експлуатаційного господарства </t>
  </si>
  <si>
    <t xml:space="preserve">Забезпечення функціонування теплових мереж </t>
  </si>
  <si>
    <t>4016051</t>
  </si>
  <si>
    <t>6051</t>
  </si>
  <si>
    <t>планув</t>
  </si>
  <si>
    <t>6430</t>
  </si>
  <si>
    <t>6516430</t>
  </si>
  <si>
    <t>Діяльність і послуги, не віднесені до інших категорій</t>
  </si>
  <si>
    <t>зал.відшкод.</t>
  </si>
  <si>
    <t>відшкод</t>
  </si>
  <si>
    <t>зал.екол</t>
  </si>
  <si>
    <t>зал.</t>
  </si>
  <si>
    <t>зал.заг</t>
  </si>
  <si>
    <t>перед.</t>
  </si>
  <si>
    <t>зал.суб</t>
  </si>
  <si>
    <t>передача зал.</t>
  </si>
  <si>
    <t>бюдж.</t>
  </si>
  <si>
    <t>Інші заходи та заклади молодіжної політики</t>
  </si>
  <si>
    <t xml:space="preserve"> - на проведення досліджень та надання медичної допомоги мешканцям Новомалинівської сільської  ради</t>
  </si>
  <si>
    <t>6640</t>
  </si>
  <si>
    <t>4016640</t>
  </si>
  <si>
    <t>Інші заходи у сфері електротранспорту</t>
  </si>
  <si>
    <t>Музеї і виставки</t>
  </si>
  <si>
    <t>Палаци і будинки культури, клуби та інші заклади клубного типу</t>
  </si>
  <si>
    <t>Забезпечення функціонування комбінатів комунальних підприємств, районних виробничих об'єднань та інших підприємств, установ та організацій житлово-комунального господарства</t>
  </si>
  <si>
    <t>Надання пільг з оплати послуг зв’язку та інших передбачених законодавством пільг (крім пільг на одержання ліків, зубопротезування, забезпечення продуктами харчування, оплату електроенергії, природного і скрапленого газу, на побутові потреби, твердого та рідкого пічного побутового палива,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 рідких нечистот) та компенсації за пільговий проїзд окремих категорій громадян</t>
  </si>
  <si>
    <t>Компенсаційні виплати за пільговий проїзд окремих категорій громадян на залізничному транспорті</t>
  </si>
  <si>
    <t>3037</t>
  </si>
  <si>
    <t>1513037</t>
  </si>
  <si>
    <t>2417500</t>
  </si>
  <si>
    <t>Фінансове управління виконкому Криворізької міської ради</t>
  </si>
  <si>
    <t>Інші додаткові дотації</t>
  </si>
  <si>
    <t>субвенція з міського бюджету районним у місті бюджетам на фінансування проектів-переможців конкурсу місцевого розвитку "Громадський бюджет" у 2017 році (Інгулецькому районному у місті бюджету)</t>
  </si>
  <si>
    <t>у тому числі бюджету Інгулецької районної у місті ради</t>
  </si>
  <si>
    <t xml:space="preserve">субвенція з міського бюджету районним у місті бюджетам за рахунок субвенції з обласного бюджету на капітальні видатки та облаштування об'єктів соціально-культурної сфери  </t>
  </si>
  <si>
    <t>у тому числі бюджету Металургійної районної у місті ради</t>
  </si>
  <si>
    <t xml:space="preserve">Керуюча справами виконкому </t>
  </si>
  <si>
    <t>О.Шовгеля</t>
  </si>
  <si>
    <t>у тому числі за бюджетами районих у місті рад</t>
  </si>
  <si>
    <t>Довгинцівської</t>
  </si>
  <si>
    <t xml:space="preserve">Саксаганської  </t>
  </si>
  <si>
    <t>Цільові фонди, утворені Верховною Радою Автономної Республіки Крим, органами місцевого самоврядування і місцевими органами виконавчої влади</t>
  </si>
  <si>
    <t>видатки розвитку</t>
  </si>
  <si>
    <t>реклама</t>
  </si>
  <si>
    <t>бр</t>
  </si>
  <si>
    <t>бюдж</t>
  </si>
  <si>
    <t>Реалізація заходів щодо інвестиційного розвитку території</t>
  </si>
  <si>
    <t>зал.ЗФ</t>
  </si>
  <si>
    <t>залЗФ</t>
  </si>
  <si>
    <t>кредит</t>
  </si>
  <si>
    <t xml:space="preserve">            20.02.2017 №83</t>
  </si>
</sst>
</file>

<file path=xl/styles.xml><?xml version="1.0" encoding="utf-8"?>
<styleSheet xmlns="http://schemas.openxmlformats.org/spreadsheetml/2006/main">
  <numFmts count="1">
    <numFmt numFmtId="164" formatCode="0.000"/>
  </numFmts>
  <fonts count="30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i/>
      <sz val="14"/>
      <name val="Times New Roman Cyr"/>
      <family val="1"/>
      <charset val="204"/>
    </font>
    <font>
      <i/>
      <sz val="14"/>
      <name val="Times New Roman Cyr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0" fontId="5" fillId="2" borderId="1" xfId="0" applyFont="1" applyFill="1" applyBorder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4" fontId="2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2" borderId="7" xfId="0" applyFont="1" applyFill="1" applyBorder="1"/>
    <xf numFmtId="0" fontId="5" fillId="2" borderId="8" xfId="0" applyFont="1" applyFill="1" applyBorder="1"/>
    <xf numFmtId="4" fontId="5" fillId="2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4" fontId="8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9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49" fontId="4" fillId="0" borderId="2" xfId="0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" fontId="8" fillId="0" borderId="12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4" fontId="25" fillId="0" borderId="10" xfId="0" applyNumberFormat="1" applyFont="1" applyFill="1" applyBorder="1" applyAlignment="1">
      <alignment horizontal="center" vertical="center"/>
    </xf>
    <xf numFmtId="4" fontId="26" fillId="0" borderId="10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4" fontId="27" fillId="0" borderId="10" xfId="0" applyNumberFormat="1" applyFont="1" applyFill="1" applyBorder="1" applyAlignment="1">
      <alignment horizontal="center" vertical="center"/>
    </xf>
    <xf numFmtId="4" fontId="28" fillId="0" borderId="1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29" fillId="0" borderId="0" xfId="0" applyFont="1"/>
    <xf numFmtId="49" fontId="2" fillId="3" borderId="13" xfId="0" applyNumberFormat="1" applyFont="1" applyFill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4" fontId="29" fillId="0" borderId="0" xfId="0" applyNumberFormat="1" applyFont="1"/>
    <xf numFmtId="4" fontId="3" fillId="0" borderId="0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4" fontId="0" fillId="0" borderId="0" xfId="0" applyNumberFormat="1"/>
    <xf numFmtId="0" fontId="8" fillId="0" borderId="3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2"/>
  <sheetViews>
    <sheetView tabSelected="1" zoomScale="87" zoomScaleNormal="87" zoomScaleSheetLayoutView="89" workbookViewId="0">
      <selection activeCell="E3" sqref="E3"/>
    </sheetView>
  </sheetViews>
  <sheetFormatPr defaultRowHeight="12.75"/>
  <cols>
    <col min="1" max="1" width="15.7109375" customWidth="1"/>
    <col min="2" max="2" width="14.140625" customWidth="1"/>
    <col min="3" max="3" width="44.85546875" customWidth="1"/>
    <col min="4" max="4" width="21.7109375" customWidth="1"/>
    <col min="5" max="5" width="18.5703125" customWidth="1"/>
    <col min="6" max="6" width="19.85546875" customWidth="1"/>
    <col min="7" max="7" width="16.85546875" customWidth="1"/>
    <col min="8" max="8" width="15.7109375" customWidth="1"/>
    <col min="9" max="9" width="17.7109375" bestFit="1" customWidth="1"/>
    <col min="10" max="10" width="15.28515625" customWidth="1"/>
    <col min="11" max="11" width="18.5703125" customWidth="1"/>
  </cols>
  <sheetData>
    <row r="1" spans="1:8" ht="36.75" customHeight="1">
      <c r="A1" s="5"/>
      <c r="B1" s="5"/>
      <c r="C1" s="5"/>
      <c r="D1" s="55" t="s">
        <v>97</v>
      </c>
      <c r="E1" s="54"/>
      <c r="F1" s="34"/>
      <c r="G1" s="20"/>
    </row>
    <row r="2" spans="1:8" ht="24.75" customHeight="1">
      <c r="A2" s="5"/>
      <c r="B2" s="5"/>
      <c r="C2" s="5"/>
      <c r="D2" s="55" t="s">
        <v>96</v>
      </c>
      <c r="E2" s="36"/>
      <c r="F2" s="35"/>
      <c r="G2" s="21"/>
    </row>
    <row r="3" spans="1:8" ht="18.75" customHeight="1">
      <c r="A3" s="5"/>
      <c r="B3" s="5"/>
      <c r="C3" s="5"/>
      <c r="D3" s="20" t="s">
        <v>173</v>
      </c>
      <c r="E3" s="20"/>
      <c r="F3" s="21"/>
      <c r="G3" s="21"/>
    </row>
    <row r="4" spans="1:8" ht="26.25" customHeight="1">
      <c r="A4" s="108" t="s">
        <v>16</v>
      </c>
      <c r="B4" s="108"/>
      <c r="C4" s="109"/>
      <c r="D4" s="109"/>
      <c r="E4" s="109"/>
      <c r="F4" s="109"/>
      <c r="G4" s="17"/>
      <c r="H4" s="1"/>
    </row>
    <row r="5" spans="1:8" ht="12" customHeight="1">
      <c r="A5" s="16"/>
      <c r="B5" s="16"/>
      <c r="C5" s="17"/>
      <c r="D5" s="17"/>
      <c r="E5" s="17"/>
      <c r="F5" s="17"/>
      <c r="G5" s="17"/>
      <c r="H5" s="1"/>
    </row>
    <row r="6" spans="1:8" ht="15" customHeight="1" thickBot="1">
      <c r="A6" s="5"/>
      <c r="B6" s="5"/>
      <c r="C6" s="5"/>
      <c r="D6" s="6"/>
      <c r="E6" s="6"/>
      <c r="F6" s="4" t="s">
        <v>0</v>
      </c>
      <c r="G6" s="4"/>
    </row>
    <row r="7" spans="1:8" ht="45" customHeight="1">
      <c r="A7" s="112" t="s">
        <v>27</v>
      </c>
      <c r="B7" s="112" t="s">
        <v>103</v>
      </c>
      <c r="C7" s="110" t="s">
        <v>1</v>
      </c>
      <c r="D7" s="110" t="s">
        <v>17</v>
      </c>
      <c r="E7" s="110" t="s">
        <v>3</v>
      </c>
      <c r="F7" s="110" t="s">
        <v>18</v>
      </c>
      <c r="G7" s="32"/>
    </row>
    <row r="8" spans="1:8" ht="66" customHeight="1" thickBot="1">
      <c r="A8" s="113" t="s">
        <v>2</v>
      </c>
      <c r="B8" s="113"/>
      <c r="C8" s="111"/>
      <c r="D8" s="111"/>
      <c r="E8" s="111"/>
      <c r="F8" s="111"/>
      <c r="G8" s="32"/>
    </row>
    <row r="9" spans="1:8" ht="18.75" customHeight="1" thickBot="1">
      <c r="A9" s="18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32"/>
    </row>
    <row r="10" spans="1:8" ht="30" customHeight="1" thickBot="1">
      <c r="A10" s="52"/>
      <c r="B10" s="52"/>
      <c r="C10" s="79" t="s">
        <v>99</v>
      </c>
      <c r="D10" s="52">
        <v>5272019903</v>
      </c>
      <c r="E10" s="43">
        <f>E11</f>
        <v>350000</v>
      </c>
      <c r="F10" s="52">
        <f t="shared" ref="F10:F15" si="0">D10+E10</f>
        <v>5272369903</v>
      </c>
      <c r="G10" s="32"/>
    </row>
    <row r="11" spans="1:8" ht="55.5" customHeight="1">
      <c r="A11" s="83"/>
      <c r="B11" s="83" t="s">
        <v>104</v>
      </c>
      <c r="C11" s="51" t="s">
        <v>100</v>
      </c>
      <c r="D11" s="30">
        <v>2428063804</v>
      </c>
      <c r="E11" s="30">
        <f>E12</f>
        <v>350000</v>
      </c>
      <c r="F11" s="30">
        <f t="shared" si="0"/>
        <v>2428413804</v>
      </c>
      <c r="G11" s="32"/>
    </row>
    <row r="12" spans="1:8" ht="30" customHeight="1">
      <c r="A12" s="83"/>
      <c r="B12" s="83" t="s">
        <v>105</v>
      </c>
      <c r="C12" s="51" t="s">
        <v>101</v>
      </c>
      <c r="D12" s="30">
        <v>2428063804</v>
      </c>
      <c r="E12" s="30">
        <f>E13</f>
        <v>350000</v>
      </c>
      <c r="F12" s="30">
        <f t="shared" si="0"/>
        <v>2428413804</v>
      </c>
      <c r="G12" s="32"/>
    </row>
    <row r="13" spans="1:8" ht="22.5" customHeight="1">
      <c r="A13" s="80"/>
      <c r="B13" s="70">
        <v>41030000</v>
      </c>
      <c r="C13" s="80" t="s">
        <v>102</v>
      </c>
      <c r="D13" s="81">
        <v>2428063804</v>
      </c>
      <c r="E13" s="82">
        <f>E14</f>
        <v>350000</v>
      </c>
      <c r="F13" s="47">
        <f t="shared" si="0"/>
        <v>2428413804</v>
      </c>
      <c r="G13" s="32"/>
    </row>
    <row r="14" spans="1:8" ht="28.5" customHeight="1">
      <c r="A14" s="80"/>
      <c r="B14" s="70" t="s">
        <v>107</v>
      </c>
      <c r="C14" s="80" t="s">
        <v>106</v>
      </c>
      <c r="D14" s="81">
        <v>14680000</v>
      </c>
      <c r="E14" s="82">
        <f>SUM(E15:E16)</f>
        <v>350000</v>
      </c>
      <c r="F14" s="47">
        <f t="shared" si="0"/>
        <v>15030000</v>
      </c>
      <c r="G14" s="32"/>
    </row>
    <row r="15" spans="1:8" ht="48.75" customHeight="1">
      <c r="A15" s="80"/>
      <c r="B15" s="80"/>
      <c r="C15" s="84" t="s">
        <v>108</v>
      </c>
      <c r="D15" s="85">
        <v>0</v>
      </c>
      <c r="E15" s="86">
        <v>200000</v>
      </c>
      <c r="F15" s="72">
        <f t="shared" si="0"/>
        <v>200000</v>
      </c>
      <c r="G15" s="32"/>
    </row>
    <row r="16" spans="1:8" ht="62.25" customHeight="1" thickBot="1">
      <c r="A16" s="97"/>
      <c r="B16" s="98"/>
      <c r="C16" s="84" t="s">
        <v>141</v>
      </c>
      <c r="D16" s="85">
        <v>0</v>
      </c>
      <c r="E16" s="86">
        <v>150000</v>
      </c>
      <c r="F16" s="72">
        <f>D16+E16</f>
        <v>150000</v>
      </c>
      <c r="G16" s="32"/>
    </row>
    <row r="17" spans="1:8" ht="40.5" customHeight="1" thickBot="1">
      <c r="A17" s="11"/>
      <c r="B17" s="65"/>
      <c r="C17" s="37" t="s">
        <v>9</v>
      </c>
      <c r="D17" s="52">
        <f>4953526251+365902</f>
        <v>4953892153</v>
      </c>
      <c r="E17" s="43">
        <f>E18+E24+E60+E68+E76+E84+E88+E100+E103+E106</f>
        <v>88955197.480000004</v>
      </c>
      <c r="F17" s="52">
        <f t="shared" ref="F17:F27" si="1">D17+E17</f>
        <v>5042847350.4799995</v>
      </c>
      <c r="G17" s="57"/>
      <c r="H17" s="2"/>
    </row>
    <row r="18" spans="1:8" ht="36.75" customHeight="1">
      <c r="A18" s="89" t="s">
        <v>22</v>
      </c>
      <c r="B18" s="51"/>
      <c r="C18" s="51" t="s">
        <v>21</v>
      </c>
      <c r="D18" s="30">
        <v>122114954</v>
      </c>
      <c r="E18" s="30">
        <f>E19</f>
        <v>5431700</v>
      </c>
      <c r="F18" s="30">
        <f t="shared" si="1"/>
        <v>127546654</v>
      </c>
      <c r="G18" s="57"/>
      <c r="H18" s="2"/>
    </row>
    <row r="19" spans="1:8" ht="40.5" customHeight="1">
      <c r="A19" s="89" t="s">
        <v>23</v>
      </c>
      <c r="B19" s="51"/>
      <c r="C19" s="51" t="s">
        <v>21</v>
      </c>
      <c r="D19" s="30">
        <v>122114954</v>
      </c>
      <c r="E19" s="30">
        <f>SUM(E20:E22)</f>
        <v>5431700</v>
      </c>
      <c r="F19" s="30">
        <f t="shared" si="1"/>
        <v>127546654</v>
      </c>
      <c r="G19" s="7" t="s">
        <v>115</v>
      </c>
      <c r="H19" s="2"/>
    </row>
    <row r="20" spans="1:8" ht="98.25" customHeight="1">
      <c r="A20" s="70" t="s">
        <v>30</v>
      </c>
      <c r="B20" s="70" t="s">
        <v>31</v>
      </c>
      <c r="C20" s="50" t="s">
        <v>29</v>
      </c>
      <c r="D20" s="45">
        <v>118758088</v>
      </c>
      <c r="E20" s="45">
        <f>670000</f>
        <v>670000</v>
      </c>
      <c r="F20" s="45">
        <f>D20+E20</f>
        <v>119428088</v>
      </c>
      <c r="G20" s="57"/>
      <c r="H20" s="2"/>
    </row>
    <row r="21" spans="1:8" ht="22.5" customHeight="1">
      <c r="A21" s="70" t="s">
        <v>28</v>
      </c>
      <c r="B21" s="70">
        <v>8600</v>
      </c>
      <c r="C21" s="50" t="s">
        <v>15</v>
      </c>
      <c r="D21" s="45">
        <v>2132722</v>
      </c>
      <c r="E21" s="45">
        <f>1069500</f>
        <v>1069500</v>
      </c>
      <c r="F21" s="45">
        <f t="shared" si="1"/>
        <v>3202222</v>
      </c>
      <c r="G21" s="57"/>
      <c r="H21" s="2"/>
    </row>
    <row r="22" spans="1:8" ht="22.5" customHeight="1">
      <c r="A22" s="70" t="s">
        <v>94</v>
      </c>
      <c r="B22" s="70">
        <v>6660</v>
      </c>
      <c r="C22" s="50" t="s">
        <v>92</v>
      </c>
      <c r="D22" s="60">
        <f>D23</f>
        <v>0</v>
      </c>
      <c r="E22" s="60">
        <f>E23</f>
        <v>3692200</v>
      </c>
      <c r="F22" s="45">
        <f t="shared" si="1"/>
        <v>3692200</v>
      </c>
      <c r="G22" s="57"/>
      <c r="H22" s="2"/>
    </row>
    <row r="23" spans="1:8" ht="20.25" customHeight="1">
      <c r="A23" s="74" t="s">
        <v>95</v>
      </c>
      <c r="B23" s="74">
        <v>6662</v>
      </c>
      <c r="C23" s="48" t="s">
        <v>93</v>
      </c>
      <c r="D23" s="73">
        <v>0</v>
      </c>
      <c r="E23" s="73">
        <f>3692200</f>
        <v>3692200</v>
      </c>
      <c r="F23" s="58">
        <f t="shared" si="1"/>
        <v>3692200</v>
      </c>
      <c r="G23" s="57"/>
      <c r="H23" s="2"/>
    </row>
    <row r="24" spans="1:8" ht="36.75" customHeight="1">
      <c r="A24" s="89" t="s">
        <v>25</v>
      </c>
      <c r="B24" s="51"/>
      <c r="C24" s="51" t="s">
        <v>24</v>
      </c>
      <c r="D24" s="30">
        <v>1626212563</v>
      </c>
      <c r="E24" s="30">
        <f>E25</f>
        <v>371185</v>
      </c>
      <c r="F24" s="30">
        <f t="shared" si="1"/>
        <v>1626583748</v>
      </c>
      <c r="G24" s="7">
        <f>E24+G25</f>
        <v>504985</v>
      </c>
      <c r="H24" s="2" t="s">
        <v>115</v>
      </c>
    </row>
    <row r="25" spans="1:8" ht="36" customHeight="1">
      <c r="A25" s="89" t="s">
        <v>26</v>
      </c>
      <c r="B25" s="51"/>
      <c r="C25" s="51" t="s">
        <v>24</v>
      </c>
      <c r="D25" s="30">
        <v>1626212563</v>
      </c>
      <c r="E25" s="30">
        <f>E28+E31+E34+E37+E40+E43+E46+E49+E52+E55+E58</f>
        <v>371185</v>
      </c>
      <c r="F25" s="30">
        <f t="shared" si="1"/>
        <v>1626583748</v>
      </c>
      <c r="G25" s="96">
        <v>133800</v>
      </c>
      <c r="H25" s="2" t="s">
        <v>136</v>
      </c>
    </row>
    <row r="26" spans="1:8" ht="22.5" customHeight="1">
      <c r="A26" s="90"/>
      <c r="B26" s="51"/>
      <c r="C26" s="75" t="s">
        <v>75</v>
      </c>
      <c r="D26" s="46">
        <v>1018791547</v>
      </c>
      <c r="E26" s="46">
        <f>E29+E32+E35+E38+E41+E44+E47+E50+E53+E56</f>
        <v>8259618</v>
      </c>
      <c r="F26" s="46">
        <f t="shared" si="1"/>
        <v>1027051165</v>
      </c>
      <c r="G26" s="57"/>
      <c r="H26" s="2"/>
    </row>
    <row r="27" spans="1:8" ht="18.75" customHeight="1">
      <c r="A27" s="90"/>
      <c r="B27" s="51"/>
      <c r="C27" s="75" t="s">
        <v>72</v>
      </c>
      <c r="D27" s="46">
        <v>200526041</v>
      </c>
      <c r="E27" s="46">
        <f>E30+E33+E36+E39+E42+E45+E48+E51+E54+E57</f>
        <v>-10000000</v>
      </c>
      <c r="F27" s="46">
        <f t="shared" si="1"/>
        <v>190526041</v>
      </c>
      <c r="G27" s="57"/>
      <c r="H27" s="2"/>
    </row>
    <row r="28" spans="1:8" ht="25.5" customHeight="1">
      <c r="A28" s="70" t="s">
        <v>55</v>
      </c>
      <c r="B28" s="70">
        <v>1010</v>
      </c>
      <c r="C28" s="50" t="s">
        <v>52</v>
      </c>
      <c r="D28" s="45">
        <v>565528447</v>
      </c>
      <c r="E28" s="45">
        <f>E30-2572964</f>
        <v>-6345964</v>
      </c>
      <c r="F28" s="45">
        <f t="shared" ref="F28:F46" si="2">D28+E28</f>
        <v>559182483</v>
      </c>
      <c r="G28" s="57"/>
      <c r="H28" s="2"/>
    </row>
    <row r="29" spans="1:8" ht="21" customHeight="1">
      <c r="A29" s="70"/>
      <c r="B29" s="70"/>
      <c r="C29" s="48" t="s">
        <v>75</v>
      </c>
      <c r="D29" s="103">
        <v>343906392</v>
      </c>
      <c r="E29" s="103">
        <v>-2264897</v>
      </c>
      <c r="F29" s="103">
        <f>D29+E29</f>
        <v>341641495</v>
      </c>
      <c r="G29" s="57"/>
      <c r="H29" s="2"/>
    </row>
    <row r="30" spans="1:8" ht="23.25" customHeight="1">
      <c r="A30" s="70"/>
      <c r="B30" s="70"/>
      <c r="C30" s="48" t="s">
        <v>76</v>
      </c>
      <c r="D30" s="103">
        <v>73844397</v>
      </c>
      <c r="E30" s="103">
        <f>-3773000</f>
        <v>-3773000</v>
      </c>
      <c r="F30" s="103">
        <f t="shared" si="2"/>
        <v>70071397</v>
      </c>
      <c r="G30" s="57"/>
      <c r="H30" s="2"/>
    </row>
    <row r="31" spans="1:8" ht="96.75" customHeight="1">
      <c r="A31" s="70" t="s">
        <v>56</v>
      </c>
      <c r="B31" s="70">
        <v>1020</v>
      </c>
      <c r="C31" s="50" t="s">
        <v>53</v>
      </c>
      <c r="D31" s="45">
        <v>844465520</v>
      </c>
      <c r="E31" s="45">
        <f>3962000+3330320</f>
        <v>7292320</v>
      </c>
      <c r="F31" s="45">
        <f t="shared" si="2"/>
        <v>851757840</v>
      </c>
      <c r="G31" s="57"/>
      <c r="H31" s="2"/>
    </row>
    <row r="32" spans="1:8" ht="22.5" customHeight="1">
      <c r="A32" s="70"/>
      <c r="B32" s="70"/>
      <c r="C32" s="48" t="s">
        <v>75</v>
      </c>
      <c r="D32" s="77">
        <v>557847115</v>
      </c>
      <c r="E32" s="49">
        <f>7594262+2729771</f>
        <v>10324033</v>
      </c>
      <c r="F32" s="49">
        <f>D32+E32</f>
        <v>568171148</v>
      </c>
      <c r="G32" s="57"/>
      <c r="H32" s="2"/>
    </row>
    <row r="33" spans="1:8" ht="24" customHeight="1">
      <c r="A33" s="70"/>
      <c r="B33" s="70"/>
      <c r="C33" s="48" t="s">
        <v>76</v>
      </c>
      <c r="D33" s="58">
        <v>108386447</v>
      </c>
      <c r="E33" s="58">
        <v>-5303000</v>
      </c>
      <c r="F33" s="58">
        <f>D33+E33</f>
        <v>103083447</v>
      </c>
      <c r="G33" s="57"/>
      <c r="H33" s="2"/>
    </row>
    <row r="34" spans="1:8" ht="40.5" customHeight="1">
      <c r="A34" s="70" t="s">
        <v>57</v>
      </c>
      <c r="B34" s="70">
        <v>1030</v>
      </c>
      <c r="C34" s="50" t="s">
        <v>54</v>
      </c>
      <c r="D34" s="45">
        <v>600879</v>
      </c>
      <c r="E34" s="45">
        <f>14000</f>
        <v>14000</v>
      </c>
      <c r="F34" s="45">
        <f t="shared" si="2"/>
        <v>614879</v>
      </c>
      <c r="G34" s="57"/>
      <c r="H34" s="2"/>
    </row>
    <row r="35" spans="1:8" ht="21.75" customHeight="1">
      <c r="A35" s="70"/>
      <c r="B35" s="70"/>
      <c r="C35" s="48" t="s">
        <v>75</v>
      </c>
      <c r="D35" s="77">
        <v>402475</v>
      </c>
      <c r="E35" s="49">
        <f>12294</f>
        <v>12294</v>
      </c>
      <c r="F35" s="49">
        <f t="shared" si="2"/>
        <v>414769</v>
      </c>
      <c r="G35" s="57"/>
      <c r="H35" s="2"/>
    </row>
    <row r="36" spans="1:8" ht="19.5" customHeight="1">
      <c r="A36" s="70"/>
      <c r="B36" s="70"/>
      <c r="C36" s="48" t="s">
        <v>76</v>
      </c>
      <c r="D36" s="58">
        <v>62055</v>
      </c>
      <c r="E36" s="58">
        <f>-1000</f>
        <v>-1000</v>
      </c>
      <c r="F36" s="58">
        <f t="shared" si="2"/>
        <v>61055</v>
      </c>
      <c r="G36" s="57"/>
      <c r="H36" s="2"/>
    </row>
    <row r="37" spans="1:8" ht="68.25" customHeight="1">
      <c r="A37" s="70" t="s">
        <v>61</v>
      </c>
      <c r="B37" s="70">
        <v>1040</v>
      </c>
      <c r="C37" s="50" t="s">
        <v>58</v>
      </c>
      <c r="D37" s="45">
        <v>45536046</v>
      </c>
      <c r="E37" s="45">
        <f>328000</f>
        <v>328000</v>
      </c>
      <c r="F37" s="45">
        <f t="shared" si="2"/>
        <v>45864046</v>
      </c>
      <c r="G37" s="57"/>
      <c r="H37" s="2"/>
    </row>
    <row r="38" spans="1:8" ht="22.5" customHeight="1">
      <c r="A38" s="70"/>
      <c r="B38" s="70"/>
      <c r="C38" s="48" t="s">
        <v>75</v>
      </c>
      <c r="D38" s="58">
        <v>25759959</v>
      </c>
      <c r="E38" s="58">
        <f>491802</f>
        <v>491802</v>
      </c>
      <c r="F38" s="58">
        <f t="shared" si="2"/>
        <v>26251761</v>
      </c>
      <c r="G38" s="57"/>
      <c r="H38" s="2"/>
    </row>
    <row r="39" spans="1:8" ht="22.5" customHeight="1">
      <c r="A39" s="70"/>
      <c r="B39" s="70"/>
      <c r="C39" s="48" t="s">
        <v>76</v>
      </c>
      <c r="D39" s="58">
        <v>5491455</v>
      </c>
      <c r="E39" s="58">
        <f>-272000</f>
        <v>-272000</v>
      </c>
      <c r="F39" s="58">
        <f t="shared" si="2"/>
        <v>5219455</v>
      </c>
      <c r="G39" s="57"/>
      <c r="H39" s="2"/>
    </row>
    <row r="40" spans="1:8" ht="102.75" customHeight="1">
      <c r="A40" s="70" t="s">
        <v>62</v>
      </c>
      <c r="B40" s="70">
        <v>1070</v>
      </c>
      <c r="C40" s="50" t="s">
        <v>59</v>
      </c>
      <c r="D40" s="45">
        <v>9601086</v>
      </c>
      <c r="E40" s="45">
        <f>79000</f>
        <v>79000</v>
      </c>
      <c r="F40" s="45">
        <f t="shared" si="2"/>
        <v>9680086</v>
      </c>
      <c r="G40" s="57"/>
      <c r="H40" s="2"/>
    </row>
    <row r="41" spans="1:8" ht="21.75" customHeight="1">
      <c r="A41" s="70"/>
      <c r="B41" s="70"/>
      <c r="C41" s="48" t="s">
        <v>75</v>
      </c>
      <c r="D41" s="58">
        <v>5616794</v>
      </c>
      <c r="E41" s="58">
        <f>98361</f>
        <v>98361</v>
      </c>
      <c r="F41" s="58">
        <f>D41+E41</f>
        <v>5715155</v>
      </c>
      <c r="G41" s="57"/>
      <c r="H41" s="2"/>
    </row>
    <row r="42" spans="1:8" ht="21" customHeight="1">
      <c r="A42" s="70"/>
      <c r="B42" s="70"/>
      <c r="C42" s="48" t="s">
        <v>76</v>
      </c>
      <c r="D42" s="58">
        <v>767750</v>
      </c>
      <c r="E42" s="58">
        <f>-41000</f>
        <v>-41000</v>
      </c>
      <c r="F42" s="58">
        <f>D42+E42</f>
        <v>726750</v>
      </c>
      <c r="G42" s="57"/>
      <c r="H42" s="2"/>
    </row>
    <row r="43" spans="1:8" ht="52.5" customHeight="1">
      <c r="A43" s="70" t="s">
        <v>63</v>
      </c>
      <c r="B43" s="70">
        <v>1090</v>
      </c>
      <c r="C43" s="50" t="s">
        <v>60</v>
      </c>
      <c r="D43" s="45">
        <v>87124746</v>
      </c>
      <c r="E43" s="45">
        <f>-288815-474603+195000</f>
        <v>-568418</v>
      </c>
      <c r="F43" s="45">
        <f t="shared" si="2"/>
        <v>86556328</v>
      </c>
      <c r="G43" s="57"/>
      <c r="H43" s="2"/>
    </row>
    <row r="44" spans="1:8" ht="21.75" customHeight="1">
      <c r="A44" s="70"/>
      <c r="B44" s="70"/>
      <c r="C44" s="48" t="s">
        <v>75</v>
      </c>
      <c r="D44" s="58">
        <v>55518123</v>
      </c>
      <c r="E44" s="58">
        <f>254087-419126</f>
        <v>-165039</v>
      </c>
      <c r="F44" s="58">
        <f>D44+E44</f>
        <v>55353084</v>
      </c>
      <c r="G44" s="57"/>
      <c r="H44" s="2"/>
    </row>
    <row r="45" spans="1:8" ht="24" customHeight="1">
      <c r="A45" s="70"/>
      <c r="B45" s="70"/>
      <c r="C45" s="48" t="s">
        <v>76</v>
      </c>
      <c r="D45" s="58">
        <v>10332261</v>
      </c>
      <c r="E45" s="58">
        <v>-545000</v>
      </c>
      <c r="F45" s="58">
        <f>D45+E45</f>
        <v>9787261</v>
      </c>
      <c r="G45" s="57"/>
      <c r="H45" s="2"/>
    </row>
    <row r="46" spans="1:8" ht="52.5" customHeight="1">
      <c r="A46" s="70" t="s">
        <v>68</v>
      </c>
      <c r="B46" s="70">
        <v>1170</v>
      </c>
      <c r="C46" s="50" t="s">
        <v>64</v>
      </c>
      <c r="D46" s="45">
        <v>42071770</v>
      </c>
      <c r="E46" s="45">
        <f>-6000-79173</f>
        <v>-85173</v>
      </c>
      <c r="F46" s="45">
        <f t="shared" si="2"/>
        <v>41986597</v>
      </c>
      <c r="G46" s="57"/>
      <c r="H46" s="2"/>
    </row>
    <row r="47" spans="1:8" ht="22.5" customHeight="1">
      <c r="A47" s="70"/>
      <c r="B47" s="70"/>
      <c r="C47" s="48" t="s">
        <v>75</v>
      </c>
      <c r="D47" s="58">
        <f>6492100</f>
        <v>6492100</v>
      </c>
      <c r="E47" s="58">
        <f>-66231</f>
        <v>-66231</v>
      </c>
      <c r="F47" s="58">
        <f>D47+E47</f>
        <v>6425869</v>
      </c>
      <c r="G47" s="57"/>
      <c r="H47" s="2"/>
    </row>
    <row r="48" spans="1:8" ht="22.5" customHeight="1">
      <c r="A48" s="70"/>
      <c r="B48" s="70"/>
      <c r="C48" s="48" t="s">
        <v>76</v>
      </c>
      <c r="D48" s="58">
        <v>210832</v>
      </c>
      <c r="E48" s="58">
        <f>-6000</f>
        <v>-6000</v>
      </c>
      <c r="F48" s="58">
        <f t="shared" ref="F48:F61" si="3">D48+E48</f>
        <v>204832</v>
      </c>
      <c r="G48" s="57"/>
      <c r="H48" s="2"/>
    </row>
    <row r="49" spans="1:8" ht="35.25" customHeight="1">
      <c r="A49" s="70" t="s">
        <v>69</v>
      </c>
      <c r="B49" s="70">
        <v>1190</v>
      </c>
      <c r="C49" s="50" t="s">
        <v>65</v>
      </c>
      <c r="D49" s="45">
        <v>24278515</v>
      </c>
      <c r="E49" s="45">
        <f>-41000-138340</f>
        <v>-179340</v>
      </c>
      <c r="F49" s="45">
        <f t="shared" si="3"/>
        <v>24099175</v>
      </c>
      <c r="G49" s="57"/>
      <c r="H49" s="2"/>
    </row>
    <row r="50" spans="1:8" ht="22.5" customHeight="1">
      <c r="A50" s="70"/>
      <c r="B50" s="70"/>
      <c r="C50" s="48" t="s">
        <v>75</v>
      </c>
      <c r="D50" s="58">
        <v>18513816</v>
      </c>
      <c r="E50" s="58">
        <f>-115110</f>
        <v>-115110</v>
      </c>
      <c r="F50" s="58">
        <f>D50+E50</f>
        <v>18398706</v>
      </c>
      <c r="G50" s="57"/>
      <c r="H50" s="2"/>
    </row>
    <row r="51" spans="1:8" ht="21.75" customHeight="1">
      <c r="A51" s="70"/>
      <c r="B51" s="70"/>
      <c r="C51" s="48" t="s">
        <v>76</v>
      </c>
      <c r="D51" s="58">
        <v>843874</v>
      </c>
      <c r="E51" s="58">
        <f>-41000</f>
        <v>-41000</v>
      </c>
      <c r="F51" s="58">
        <f t="shared" si="3"/>
        <v>802874</v>
      </c>
      <c r="G51" s="57"/>
      <c r="H51" s="2"/>
    </row>
    <row r="52" spans="1:8" ht="33.75" customHeight="1">
      <c r="A52" s="70" t="s">
        <v>70</v>
      </c>
      <c r="B52" s="70">
        <v>1200</v>
      </c>
      <c r="C52" s="50" t="s">
        <v>66</v>
      </c>
      <c r="D52" s="45">
        <v>3472006</v>
      </c>
      <c r="E52" s="45">
        <f>-5000-41150</f>
        <v>-46150</v>
      </c>
      <c r="F52" s="45">
        <f t="shared" si="3"/>
        <v>3425856</v>
      </c>
      <c r="G52" s="57"/>
      <c r="H52" s="2"/>
    </row>
    <row r="53" spans="1:8" ht="24.75" customHeight="1">
      <c r="A53" s="70"/>
      <c r="B53" s="70"/>
      <c r="C53" s="48" t="s">
        <v>75</v>
      </c>
      <c r="D53" s="58">
        <f>2576517</f>
        <v>2576517</v>
      </c>
      <c r="E53" s="58">
        <v>-35185</v>
      </c>
      <c r="F53" s="58">
        <f>D53+E53</f>
        <v>2541332</v>
      </c>
      <c r="G53" s="57"/>
      <c r="H53" s="2"/>
    </row>
    <row r="54" spans="1:8" ht="21" customHeight="1">
      <c r="A54" s="70"/>
      <c r="B54" s="70"/>
      <c r="C54" s="48" t="s">
        <v>76</v>
      </c>
      <c r="D54" s="58">
        <v>259681</v>
      </c>
      <c r="E54" s="58">
        <f>-5000</f>
        <v>-5000</v>
      </c>
      <c r="F54" s="58">
        <f t="shared" si="3"/>
        <v>254681</v>
      </c>
      <c r="G54" s="57"/>
      <c r="H54" s="2"/>
    </row>
    <row r="55" spans="1:8" ht="22.5" customHeight="1">
      <c r="A55" s="70" t="s">
        <v>71</v>
      </c>
      <c r="B55" s="70">
        <v>1210</v>
      </c>
      <c r="C55" s="50" t="s">
        <v>67</v>
      </c>
      <c r="D55" s="45">
        <v>3015118</v>
      </c>
      <c r="E55" s="45">
        <f>-13000-24090</f>
        <v>-37090</v>
      </c>
      <c r="F55" s="45">
        <f t="shared" si="3"/>
        <v>2978028</v>
      </c>
      <c r="G55" s="57"/>
      <c r="H55" s="2"/>
    </row>
    <row r="56" spans="1:8" ht="21" customHeight="1">
      <c r="A56" s="70"/>
      <c r="B56" s="70"/>
      <c r="C56" s="48" t="s">
        <v>75</v>
      </c>
      <c r="D56" s="58">
        <f>2158256</f>
        <v>2158256</v>
      </c>
      <c r="E56" s="58">
        <v>-20410</v>
      </c>
      <c r="F56" s="58">
        <f>D56+E56</f>
        <v>2137846</v>
      </c>
      <c r="G56" s="57"/>
      <c r="H56" s="2"/>
    </row>
    <row r="57" spans="1:8" ht="21" customHeight="1">
      <c r="A57" s="70"/>
      <c r="B57" s="70"/>
      <c r="C57" s="48" t="s">
        <v>76</v>
      </c>
      <c r="D57" s="58">
        <v>327289</v>
      </c>
      <c r="E57" s="58">
        <f>-13000</f>
        <v>-13000</v>
      </c>
      <c r="F57" s="58">
        <f t="shared" si="3"/>
        <v>314289</v>
      </c>
      <c r="G57" s="57"/>
      <c r="H57" s="2"/>
    </row>
    <row r="58" spans="1:8" ht="24" customHeight="1">
      <c r="A58" s="70">
        <v>1018800</v>
      </c>
      <c r="B58" s="70">
        <v>8800</v>
      </c>
      <c r="C58" s="50" t="s">
        <v>32</v>
      </c>
      <c r="D58" s="73">
        <f>D59</f>
        <v>90000</v>
      </c>
      <c r="E58" s="73">
        <f>E59</f>
        <v>-80000</v>
      </c>
      <c r="F58" s="45">
        <f t="shared" si="3"/>
        <v>10000</v>
      </c>
      <c r="G58" s="57"/>
      <c r="H58" s="2"/>
    </row>
    <row r="59" spans="1:8" ht="78.75" customHeight="1">
      <c r="A59" s="91"/>
      <c r="B59" s="76"/>
      <c r="C59" s="78" t="s">
        <v>33</v>
      </c>
      <c r="D59" s="73">
        <f>90000</f>
        <v>90000</v>
      </c>
      <c r="E59" s="73">
        <f>-80000</f>
        <v>-80000</v>
      </c>
      <c r="F59" s="58">
        <f t="shared" si="3"/>
        <v>10000</v>
      </c>
      <c r="G59" s="57"/>
      <c r="H59" s="2"/>
    </row>
    <row r="60" spans="1:8" ht="36.75" customHeight="1">
      <c r="A60" s="89">
        <v>1100000</v>
      </c>
      <c r="B60" s="51"/>
      <c r="C60" s="51" t="s">
        <v>36</v>
      </c>
      <c r="D60" s="30">
        <f>7382804+365902</f>
        <v>7748706</v>
      </c>
      <c r="E60" s="30">
        <f>E61</f>
        <v>0</v>
      </c>
      <c r="F60" s="30">
        <f t="shared" si="3"/>
        <v>7748706</v>
      </c>
      <c r="G60" s="57"/>
      <c r="H60" s="2"/>
    </row>
    <row r="61" spans="1:8" ht="40.5" customHeight="1">
      <c r="A61" s="89">
        <v>1110000</v>
      </c>
      <c r="B61" s="51"/>
      <c r="C61" s="51" t="s">
        <v>36</v>
      </c>
      <c r="D61" s="30">
        <f>7382804+365902</f>
        <v>7748706</v>
      </c>
      <c r="E61" s="30">
        <f>E62+E65</f>
        <v>0</v>
      </c>
      <c r="F61" s="30">
        <f t="shared" si="3"/>
        <v>7748706</v>
      </c>
      <c r="G61" s="57"/>
      <c r="H61" s="2"/>
    </row>
    <row r="62" spans="1:8" ht="40.5" customHeight="1">
      <c r="A62" s="70">
        <v>1113140</v>
      </c>
      <c r="B62" s="70">
        <v>3140</v>
      </c>
      <c r="C62" s="50" t="s">
        <v>79</v>
      </c>
      <c r="D62" s="45">
        <f>D63+D64</f>
        <v>128800</v>
      </c>
      <c r="E62" s="45">
        <f>SUM(E63:E64)</f>
        <v>0</v>
      </c>
      <c r="F62" s="45">
        <f t="shared" ref="F62:F67" si="4">D62+E62</f>
        <v>128800</v>
      </c>
      <c r="G62" s="57"/>
      <c r="H62" s="2"/>
    </row>
    <row r="63" spans="1:8" ht="64.5" customHeight="1">
      <c r="A63" s="74">
        <v>1113141</v>
      </c>
      <c r="B63" s="74">
        <v>3141</v>
      </c>
      <c r="C63" s="48" t="s">
        <v>80</v>
      </c>
      <c r="D63" s="58">
        <f>128800</f>
        <v>128800</v>
      </c>
      <c r="E63" s="58">
        <v>-49500</v>
      </c>
      <c r="F63" s="58">
        <f t="shared" si="4"/>
        <v>79300</v>
      </c>
      <c r="G63" s="57"/>
      <c r="H63" s="2"/>
    </row>
    <row r="64" spans="1:8" ht="32.25" customHeight="1">
      <c r="A64" s="74" t="s">
        <v>81</v>
      </c>
      <c r="B64" s="74" t="s">
        <v>82</v>
      </c>
      <c r="C64" s="48" t="s">
        <v>140</v>
      </c>
      <c r="D64" s="58">
        <v>0</v>
      </c>
      <c r="E64" s="58">
        <v>49500</v>
      </c>
      <c r="F64" s="58">
        <f t="shared" si="4"/>
        <v>49500</v>
      </c>
      <c r="G64" s="57"/>
      <c r="H64" s="2"/>
    </row>
    <row r="65" spans="1:8" ht="54" customHeight="1">
      <c r="A65" s="70">
        <v>1118100</v>
      </c>
      <c r="B65" s="70">
        <v>8100</v>
      </c>
      <c r="C65" s="50" t="s">
        <v>37</v>
      </c>
      <c r="D65" s="45">
        <f>SUM(D66:D67)</f>
        <v>388594</v>
      </c>
      <c r="E65" s="45">
        <f>SUM(E66:E67)</f>
        <v>0</v>
      </c>
      <c r="F65" s="45">
        <f t="shared" si="4"/>
        <v>388594</v>
      </c>
      <c r="G65" s="57"/>
      <c r="H65" s="2"/>
    </row>
    <row r="66" spans="1:8" ht="65.25" customHeight="1">
      <c r="A66" s="74">
        <v>1118108</v>
      </c>
      <c r="B66" s="74">
        <v>8108</v>
      </c>
      <c r="C66" s="48" t="s">
        <v>39</v>
      </c>
      <c r="D66" s="58">
        <v>365902</v>
      </c>
      <c r="E66" s="58">
        <f>-16469</f>
        <v>-16469</v>
      </c>
      <c r="F66" s="58">
        <f>D66+E66</f>
        <v>349433</v>
      </c>
      <c r="G66" s="57"/>
      <c r="H66" s="2"/>
    </row>
    <row r="67" spans="1:8" ht="82.5" customHeight="1">
      <c r="A67" s="74">
        <v>1118108</v>
      </c>
      <c r="B67" s="74">
        <v>8108</v>
      </c>
      <c r="C67" s="48" t="s">
        <v>38</v>
      </c>
      <c r="D67" s="58">
        <v>22692</v>
      </c>
      <c r="E67" s="58">
        <f>16469</f>
        <v>16469</v>
      </c>
      <c r="F67" s="58">
        <f t="shared" si="4"/>
        <v>39161</v>
      </c>
      <c r="G67" s="57"/>
      <c r="H67" s="2"/>
    </row>
    <row r="68" spans="1:8" ht="40.5" customHeight="1">
      <c r="A68" s="89">
        <v>1400000</v>
      </c>
      <c r="B68" s="51"/>
      <c r="C68" s="51" t="s">
        <v>40</v>
      </c>
      <c r="D68" s="30">
        <v>708043400</v>
      </c>
      <c r="E68" s="30">
        <f>E69</f>
        <v>14854295.48</v>
      </c>
      <c r="F68" s="30">
        <f t="shared" ref="F68:F115" si="5">D68+E68</f>
        <v>722897695.48000002</v>
      </c>
      <c r="G68" s="57"/>
      <c r="H68" s="2"/>
    </row>
    <row r="69" spans="1:8" ht="40.5" customHeight="1">
      <c r="A69" s="89">
        <v>1410000</v>
      </c>
      <c r="B69" s="51"/>
      <c r="C69" s="51" t="s">
        <v>40</v>
      </c>
      <c r="D69" s="30">
        <v>708043400</v>
      </c>
      <c r="E69" s="30">
        <f>SUM(E70:E74)</f>
        <v>14854295.48</v>
      </c>
      <c r="F69" s="30">
        <f t="shared" si="5"/>
        <v>722897695.48000002</v>
      </c>
      <c r="G69" s="7">
        <v>350000</v>
      </c>
      <c r="H69" s="2" t="s">
        <v>120</v>
      </c>
    </row>
    <row r="70" spans="1:8" ht="40.5" customHeight="1">
      <c r="A70" s="70">
        <v>1412010</v>
      </c>
      <c r="B70" s="70" t="s">
        <v>42</v>
      </c>
      <c r="C70" s="50" t="s">
        <v>41</v>
      </c>
      <c r="D70" s="45">
        <v>422918940</v>
      </c>
      <c r="E70" s="45">
        <f>9317600+200000+150000</f>
        <v>9667600</v>
      </c>
      <c r="F70" s="45">
        <f t="shared" si="5"/>
        <v>432586540</v>
      </c>
      <c r="G70" s="7">
        <f>E71+E72+E70-350000+E74</f>
        <v>14504261</v>
      </c>
      <c r="H70" s="2" t="s">
        <v>115</v>
      </c>
    </row>
    <row r="71" spans="1:8" ht="40.5" customHeight="1">
      <c r="A71" s="70">
        <v>1412050</v>
      </c>
      <c r="B71" s="70" t="s">
        <v>117</v>
      </c>
      <c r="C71" s="50" t="s">
        <v>116</v>
      </c>
      <c r="D71" s="45">
        <v>51207750</v>
      </c>
      <c r="E71" s="45">
        <f>2350000</f>
        <v>2350000</v>
      </c>
      <c r="F71" s="45">
        <f t="shared" si="5"/>
        <v>53557750</v>
      </c>
      <c r="G71" s="57"/>
      <c r="H71" s="2"/>
    </row>
    <row r="72" spans="1:8" ht="40.5" customHeight="1">
      <c r="A72" s="70">
        <v>1412140</v>
      </c>
      <c r="B72" s="70" t="s">
        <v>119</v>
      </c>
      <c r="C72" s="50" t="s">
        <v>118</v>
      </c>
      <c r="D72" s="45">
        <v>32886656</v>
      </c>
      <c r="E72" s="45">
        <f>332400</f>
        <v>332400</v>
      </c>
      <c r="F72" s="45">
        <f t="shared" si="5"/>
        <v>33219056</v>
      </c>
      <c r="G72" s="57"/>
      <c r="H72" s="2"/>
    </row>
    <row r="73" spans="1:8" ht="32.25" customHeight="1">
      <c r="A73" s="70">
        <v>1412180</v>
      </c>
      <c r="B73" s="70">
        <v>2180</v>
      </c>
      <c r="C73" s="50" t="s">
        <v>43</v>
      </c>
      <c r="D73" s="45">
        <v>192852883</v>
      </c>
      <c r="E73" s="45">
        <f>34.48</f>
        <v>34.479999999999997</v>
      </c>
      <c r="F73" s="45">
        <f t="shared" si="5"/>
        <v>192852917.47999999</v>
      </c>
      <c r="G73" s="7">
        <v>34.479999999999997</v>
      </c>
      <c r="H73" s="2" t="s">
        <v>137</v>
      </c>
    </row>
    <row r="74" spans="1:8" ht="27.75" customHeight="1">
      <c r="A74" s="70" t="s">
        <v>121</v>
      </c>
      <c r="B74" s="70">
        <v>8800</v>
      </c>
      <c r="C74" s="50" t="s">
        <v>32</v>
      </c>
      <c r="D74" s="60">
        <f>D75</f>
        <v>0</v>
      </c>
      <c r="E74" s="60">
        <f>E75</f>
        <v>2504261</v>
      </c>
      <c r="F74" s="45">
        <f t="shared" si="5"/>
        <v>2504261</v>
      </c>
      <c r="G74" s="7"/>
      <c r="H74" s="2"/>
    </row>
    <row r="75" spans="1:8" ht="138" customHeight="1">
      <c r="A75" s="91"/>
      <c r="B75" s="76"/>
      <c r="C75" s="78" t="s">
        <v>122</v>
      </c>
      <c r="D75" s="73">
        <v>0</v>
      </c>
      <c r="E75" s="73">
        <f>2504261</f>
        <v>2504261</v>
      </c>
      <c r="F75" s="58">
        <f t="shared" si="5"/>
        <v>2504261</v>
      </c>
      <c r="G75" s="7"/>
      <c r="H75" s="2"/>
    </row>
    <row r="76" spans="1:8" ht="56.25" customHeight="1">
      <c r="A76" s="89">
        <v>1500000</v>
      </c>
      <c r="B76" s="51"/>
      <c r="C76" s="51" t="s">
        <v>13</v>
      </c>
      <c r="D76" s="30">
        <f>D77</f>
        <v>741816960</v>
      </c>
      <c r="E76" s="30">
        <f>E77</f>
        <v>554860</v>
      </c>
      <c r="F76" s="30">
        <f t="shared" si="5"/>
        <v>742371820</v>
      </c>
      <c r="G76" s="57"/>
      <c r="H76" s="2"/>
    </row>
    <row r="77" spans="1:8" ht="56.25" customHeight="1">
      <c r="A77" s="89">
        <v>1510000</v>
      </c>
      <c r="B77" s="51"/>
      <c r="C77" s="51" t="s">
        <v>13</v>
      </c>
      <c r="D77" s="30">
        <v>741816960</v>
      </c>
      <c r="E77" s="30">
        <f>E78+E80+E82</f>
        <v>554860</v>
      </c>
      <c r="F77" s="30">
        <f t="shared" si="5"/>
        <v>742371820</v>
      </c>
      <c r="G77" s="57"/>
      <c r="H77" s="2"/>
    </row>
    <row r="78" spans="1:8" ht="215.25" customHeight="1">
      <c r="A78" s="70">
        <v>1513030</v>
      </c>
      <c r="B78" s="70">
        <v>3030</v>
      </c>
      <c r="C78" s="101" t="s">
        <v>148</v>
      </c>
      <c r="D78" s="45">
        <v>789400</v>
      </c>
      <c r="E78" s="45">
        <f>E79</f>
        <v>500000</v>
      </c>
      <c r="F78" s="45">
        <f>D78+E78</f>
        <v>1289400</v>
      </c>
      <c r="G78" s="57"/>
      <c r="H78" s="2"/>
    </row>
    <row r="79" spans="1:8" ht="46.5" customHeight="1">
      <c r="A79" s="74" t="s">
        <v>151</v>
      </c>
      <c r="B79" s="74" t="s">
        <v>150</v>
      </c>
      <c r="C79" s="48" t="s">
        <v>149</v>
      </c>
      <c r="D79" s="58">
        <v>0</v>
      </c>
      <c r="E79" s="58">
        <f>500000</f>
        <v>500000</v>
      </c>
      <c r="F79" s="58">
        <f>D79+E79</f>
        <v>500000</v>
      </c>
      <c r="G79" s="57"/>
      <c r="H79" s="2"/>
    </row>
    <row r="80" spans="1:8" ht="26.25" customHeight="1">
      <c r="A80" s="70" t="s">
        <v>46</v>
      </c>
      <c r="B80" s="70">
        <v>3200</v>
      </c>
      <c r="C80" s="50" t="s">
        <v>44</v>
      </c>
      <c r="D80" s="45">
        <f>D81</f>
        <v>958577</v>
      </c>
      <c r="E80" s="45">
        <f>E81</f>
        <v>64100</v>
      </c>
      <c r="F80" s="45">
        <f t="shared" si="5"/>
        <v>1022677</v>
      </c>
      <c r="G80" s="7" t="s">
        <v>115</v>
      </c>
      <c r="H80" s="2"/>
    </row>
    <row r="81" spans="1:9" ht="64.5" customHeight="1">
      <c r="A81" s="74" t="s">
        <v>47</v>
      </c>
      <c r="B81" s="74">
        <v>3202</v>
      </c>
      <c r="C81" s="48" t="s">
        <v>45</v>
      </c>
      <c r="D81" s="58">
        <v>958577</v>
      </c>
      <c r="E81" s="58">
        <f>64100</f>
        <v>64100</v>
      </c>
      <c r="F81" s="58">
        <f t="shared" si="5"/>
        <v>1022677</v>
      </c>
      <c r="G81" s="57"/>
      <c r="H81" s="2"/>
    </row>
    <row r="82" spans="1:9" ht="27" customHeight="1">
      <c r="A82" s="91" t="s">
        <v>110</v>
      </c>
      <c r="B82" s="76" t="s">
        <v>109</v>
      </c>
      <c r="C82" s="50" t="s">
        <v>32</v>
      </c>
      <c r="D82" s="60">
        <f>D83</f>
        <v>19440</v>
      </c>
      <c r="E82" s="60">
        <f>E83</f>
        <v>-9240</v>
      </c>
      <c r="F82" s="45">
        <f t="shared" si="5"/>
        <v>10200</v>
      </c>
      <c r="G82" s="57"/>
      <c r="H82" s="2"/>
    </row>
    <row r="83" spans="1:9" ht="80.25" customHeight="1">
      <c r="A83" s="92"/>
      <c r="B83" s="87"/>
      <c r="C83" s="78" t="s">
        <v>33</v>
      </c>
      <c r="D83" s="73">
        <v>19440</v>
      </c>
      <c r="E83" s="73">
        <v>-9240</v>
      </c>
      <c r="F83" s="58">
        <f t="shared" si="5"/>
        <v>10200</v>
      </c>
      <c r="G83" s="57"/>
      <c r="H83" s="2"/>
    </row>
    <row r="84" spans="1:9" ht="37.5" customHeight="1">
      <c r="A84" s="89">
        <v>2400000</v>
      </c>
      <c r="B84" s="51"/>
      <c r="C84" s="51" t="s">
        <v>51</v>
      </c>
      <c r="D84" s="30">
        <f>D85</f>
        <v>156429764</v>
      </c>
      <c r="E84" s="30">
        <f>E85</f>
        <v>957163</v>
      </c>
      <c r="F84" s="30">
        <f t="shared" si="5"/>
        <v>157386927</v>
      </c>
      <c r="G84" s="7"/>
      <c r="H84" s="7"/>
    </row>
    <row r="85" spans="1:9" ht="40.5" customHeight="1">
      <c r="A85" s="89">
        <v>2410000</v>
      </c>
      <c r="B85" s="51"/>
      <c r="C85" s="51" t="s">
        <v>51</v>
      </c>
      <c r="D85" s="30">
        <v>156429764</v>
      </c>
      <c r="E85" s="30">
        <f>SUM(E86:E87)</f>
        <v>957163</v>
      </c>
      <c r="F85" s="30">
        <f t="shared" si="5"/>
        <v>157386927</v>
      </c>
      <c r="G85" s="7" t="s">
        <v>115</v>
      </c>
      <c r="H85" s="7"/>
    </row>
    <row r="86" spans="1:9" ht="33" customHeight="1">
      <c r="A86" s="70">
        <v>2414020</v>
      </c>
      <c r="B86" s="70">
        <v>4020</v>
      </c>
      <c r="C86" s="50" t="s">
        <v>78</v>
      </c>
      <c r="D86" s="45">
        <v>20516795</v>
      </c>
      <c r="E86" s="45">
        <f>574163</f>
        <v>574163</v>
      </c>
      <c r="F86" s="45">
        <f t="shared" si="5"/>
        <v>21090958</v>
      </c>
      <c r="G86" s="7"/>
      <c r="H86" s="7"/>
    </row>
    <row r="87" spans="1:9" ht="33" customHeight="1">
      <c r="A87" s="70" t="s">
        <v>152</v>
      </c>
      <c r="B87" s="70">
        <v>7500</v>
      </c>
      <c r="C87" s="50" t="s">
        <v>86</v>
      </c>
      <c r="D87" s="45">
        <v>0</v>
      </c>
      <c r="E87" s="45">
        <f>383000</f>
        <v>383000</v>
      </c>
      <c r="F87" s="45">
        <f>D87+E87</f>
        <v>383000</v>
      </c>
      <c r="G87" s="7"/>
      <c r="H87" s="7"/>
    </row>
    <row r="88" spans="1:9" ht="55.5" customHeight="1">
      <c r="A88" s="89">
        <v>4000000</v>
      </c>
      <c r="B88" s="51"/>
      <c r="C88" s="51" t="s">
        <v>8</v>
      </c>
      <c r="D88" s="30">
        <f>D89</f>
        <v>480815634</v>
      </c>
      <c r="E88" s="30">
        <f>E89</f>
        <v>69124817</v>
      </c>
      <c r="F88" s="30">
        <f t="shared" si="5"/>
        <v>549940451</v>
      </c>
      <c r="G88" s="57"/>
      <c r="H88" s="2"/>
    </row>
    <row r="89" spans="1:9" ht="55.5" customHeight="1">
      <c r="A89" s="89">
        <v>4010000</v>
      </c>
      <c r="B89" s="51"/>
      <c r="C89" s="51" t="s">
        <v>8</v>
      </c>
      <c r="D89" s="30">
        <v>480815634</v>
      </c>
      <c r="E89" s="30">
        <f>E90+E91+E93+E95+E96+E97+E98+E99</f>
        <v>69124817</v>
      </c>
      <c r="F89" s="30">
        <f t="shared" si="5"/>
        <v>549940451</v>
      </c>
      <c r="G89" s="7"/>
      <c r="H89" s="2"/>
      <c r="I89" s="99"/>
    </row>
    <row r="90" spans="1:9" ht="51.75" customHeight="1">
      <c r="A90" s="70">
        <v>4016010</v>
      </c>
      <c r="B90" s="70">
        <v>6010</v>
      </c>
      <c r="C90" s="50" t="s">
        <v>123</v>
      </c>
      <c r="D90" s="45">
        <v>1416514</v>
      </c>
      <c r="E90" s="45">
        <f>198000</f>
        <v>198000</v>
      </c>
      <c r="F90" s="45">
        <f>D90+E90</f>
        <v>1614514</v>
      </c>
      <c r="G90" s="7"/>
      <c r="H90" s="2"/>
    </row>
    <row r="91" spans="1:9" ht="36" customHeight="1">
      <c r="A91" s="70">
        <v>4016050</v>
      </c>
      <c r="B91" s="70">
        <v>6050</v>
      </c>
      <c r="C91" s="50" t="s">
        <v>83</v>
      </c>
      <c r="D91" s="45">
        <v>21000000</v>
      </c>
      <c r="E91" s="45">
        <f>SUM(E92:E92)</f>
        <v>3000000</v>
      </c>
      <c r="F91" s="45">
        <f t="shared" si="5"/>
        <v>24000000</v>
      </c>
      <c r="G91" s="57"/>
      <c r="H91" s="2"/>
    </row>
    <row r="92" spans="1:9" ht="36" customHeight="1">
      <c r="A92" s="74" t="s">
        <v>125</v>
      </c>
      <c r="B92" s="74" t="s">
        <v>126</v>
      </c>
      <c r="C92" s="48" t="s">
        <v>124</v>
      </c>
      <c r="D92" s="58">
        <v>15000000</v>
      </c>
      <c r="E92" s="58">
        <f>2000000+1000000</f>
        <v>3000000</v>
      </c>
      <c r="F92" s="58">
        <f t="shared" si="5"/>
        <v>18000000</v>
      </c>
      <c r="G92" s="57"/>
      <c r="H92" s="2"/>
    </row>
    <row r="93" spans="1:9" ht="27.75" customHeight="1">
      <c r="A93" s="70">
        <v>4016060</v>
      </c>
      <c r="B93" s="70">
        <v>6060</v>
      </c>
      <c r="C93" s="50" t="s">
        <v>7</v>
      </c>
      <c r="D93" s="45">
        <v>78327228</v>
      </c>
      <c r="E93" s="45">
        <f>300000+20000+466000</f>
        <v>786000</v>
      </c>
      <c r="F93" s="45">
        <f t="shared" si="5"/>
        <v>79113228</v>
      </c>
      <c r="G93" s="57"/>
      <c r="H93" s="2"/>
    </row>
    <row r="94" spans="1:9" ht="31.5" customHeight="1">
      <c r="A94" s="70"/>
      <c r="B94" s="69"/>
      <c r="C94" s="48" t="s">
        <v>73</v>
      </c>
      <c r="D94" s="58">
        <v>28772105</v>
      </c>
      <c r="E94" s="58">
        <f>8410+36000</f>
        <v>44410</v>
      </c>
      <c r="F94" s="58">
        <f t="shared" si="5"/>
        <v>28816515</v>
      </c>
      <c r="G94" s="7">
        <f>E89-G97+3000000</f>
        <v>64885994</v>
      </c>
      <c r="H94" s="2" t="s">
        <v>134</v>
      </c>
    </row>
    <row r="95" spans="1:9" ht="93" customHeight="1">
      <c r="A95" s="70">
        <v>4016130</v>
      </c>
      <c r="B95" s="70">
        <v>6130</v>
      </c>
      <c r="C95" s="50" t="s">
        <v>147</v>
      </c>
      <c r="D95" s="45">
        <v>4629622</v>
      </c>
      <c r="E95" s="45">
        <f>-466000</f>
        <v>-466000</v>
      </c>
      <c r="F95" s="45">
        <f>D95+E95</f>
        <v>4163622</v>
      </c>
      <c r="G95" s="7"/>
      <c r="H95" s="2"/>
    </row>
    <row r="96" spans="1:9" ht="31.5" customHeight="1">
      <c r="A96" s="70" t="s">
        <v>143</v>
      </c>
      <c r="B96" s="70" t="s">
        <v>142</v>
      </c>
      <c r="C96" s="50" t="s">
        <v>144</v>
      </c>
      <c r="D96" s="45">
        <v>221769400</v>
      </c>
      <c r="E96" s="45">
        <f>1900000</f>
        <v>1900000</v>
      </c>
      <c r="F96" s="45">
        <f>D96+E96</f>
        <v>223669400</v>
      </c>
      <c r="G96" s="7"/>
      <c r="H96" s="2"/>
    </row>
    <row r="97" spans="1:8" ht="31.5" customHeight="1">
      <c r="A97" s="70">
        <v>4016650</v>
      </c>
      <c r="B97" s="70">
        <v>6650</v>
      </c>
      <c r="C97" s="50" t="s">
        <v>85</v>
      </c>
      <c r="D97" s="45">
        <v>136888583</v>
      </c>
      <c r="E97" s="45">
        <f>66111417</f>
        <v>66111417</v>
      </c>
      <c r="F97" s="45">
        <f t="shared" si="5"/>
        <v>203000000</v>
      </c>
      <c r="G97" s="7">
        <v>7238823</v>
      </c>
      <c r="H97" s="2" t="s">
        <v>139</v>
      </c>
    </row>
    <row r="98" spans="1:8" ht="33" customHeight="1">
      <c r="A98" s="70">
        <v>4017500</v>
      </c>
      <c r="B98" s="70">
        <v>7500</v>
      </c>
      <c r="C98" s="50" t="s">
        <v>86</v>
      </c>
      <c r="D98" s="45">
        <v>7953208</v>
      </c>
      <c r="E98" s="45">
        <f>95400-3000000</f>
        <v>-2904600</v>
      </c>
      <c r="F98" s="45">
        <f t="shared" si="5"/>
        <v>5048608</v>
      </c>
      <c r="G98" s="57"/>
      <c r="H98" s="2"/>
    </row>
    <row r="99" spans="1:8" ht="33" customHeight="1">
      <c r="A99" s="70">
        <v>4018600</v>
      </c>
      <c r="B99" s="70">
        <v>8600</v>
      </c>
      <c r="C99" s="50" t="s">
        <v>15</v>
      </c>
      <c r="D99" s="60">
        <v>357200</v>
      </c>
      <c r="E99" s="60">
        <f>500000</f>
        <v>500000</v>
      </c>
      <c r="F99" s="45">
        <f t="shared" si="5"/>
        <v>857200</v>
      </c>
      <c r="G99" s="57"/>
      <c r="H99" s="2"/>
    </row>
    <row r="100" spans="1:8" ht="61.5" customHeight="1">
      <c r="A100" s="93">
        <v>4800000</v>
      </c>
      <c r="B100" s="27"/>
      <c r="C100" s="51" t="s">
        <v>34</v>
      </c>
      <c r="D100" s="30">
        <f>D101</f>
        <v>7938823</v>
      </c>
      <c r="E100" s="30">
        <f>E101</f>
        <v>-7238823</v>
      </c>
      <c r="F100" s="30">
        <f t="shared" si="5"/>
        <v>700000</v>
      </c>
      <c r="G100" s="57"/>
      <c r="H100" s="2"/>
    </row>
    <row r="101" spans="1:8" ht="58.5" customHeight="1">
      <c r="A101" s="93">
        <v>4810000</v>
      </c>
      <c r="B101" s="51"/>
      <c r="C101" s="51" t="s">
        <v>34</v>
      </c>
      <c r="D101" s="30">
        <v>7938823</v>
      </c>
      <c r="E101" s="30">
        <f>E102</f>
        <v>-7238823</v>
      </c>
      <c r="F101" s="30">
        <f t="shared" si="5"/>
        <v>700000</v>
      </c>
      <c r="G101" s="57"/>
      <c r="H101" s="2"/>
    </row>
    <row r="102" spans="1:8" ht="33" customHeight="1">
      <c r="A102" s="70">
        <v>4817310</v>
      </c>
      <c r="B102" s="70">
        <v>7310</v>
      </c>
      <c r="C102" s="50" t="s">
        <v>50</v>
      </c>
      <c r="D102" s="45">
        <v>7238823</v>
      </c>
      <c r="E102" s="45">
        <f>-7238823</f>
        <v>-7238823</v>
      </c>
      <c r="F102" s="45">
        <f t="shared" si="5"/>
        <v>0</v>
      </c>
      <c r="G102" s="7" t="s">
        <v>127</v>
      </c>
      <c r="H102" s="2"/>
    </row>
    <row r="103" spans="1:8" ht="43.5" customHeight="1">
      <c r="A103" s="93">
        <v>6500000</v>
      </c>
      <c r="B103" s="27"/>
      <c r="C103" s="51" t="s">
        <v>91</v>
      </c>
      <c r="D103" s="30">
        <f>D104</f>
        <v>10183100</v>
      </c>
      <c r="E103" s="30">
        <f>E104</f>
        <v>100000</v>
      </c>
      <c r="F103" s="30">
        <f t="shared" ref="F103:F111" si="6">D103+E103</f>
        <v>10283100</v>
      </c>
      <c r="G103" s="7" t="s">
        <v>115</v>
      </c>
      <c r="H103" s="2"/>
    </row>
    <row r="104" spans="1:8" ht="41.25" customHeight="1">
      <c r="A104" s="93">
        <v>6510000</v>
      </c>
      <c r="B104" s="51"/>
      <c r="C104" s="51" t="s">
        <v>91</v>
      </c>
      <c r="D104" s="30">
        <v>10183100</v>
      </c>
      <c r="E104" s="30">
        <f>SUM(E105:E105)</f>
        <v>100000</v>
      </c>
      <c r="F104" s="30">
        <f t="shared" si="6"/>
        <v>10283100</v>
      </c>
      <c r="G104" s="7"/>
      <c r="H104" s="2"/>
    </row>
    <row r="105" spans="1:8" ht="33" customHeight="1">
      <c r="A105" s="70" t="s">
        <v>129</v>
      </c>
      <c r="B105" s="70" t="s">
        <v>128</v>
      </c>
      <c r="C105" s="50" t="s">
        <v>87</v>
      </c>
      <c r="D105" s="45">
        <v>0</v>
      </c>
      <c r="E105" s="45">
        <f>100000</f>
        <v>100000</v>
      </c>
      <c r="F105" s="45">
        <f t="shared" si="6"/>
        <v>100000</v>
      </c>
      <c r="G105" s="7"/>
      <c r="H105" s="2"/>
    </row>
    <row r="106" spans="1:8" ht="39" customHeight="1">
      <c r="A106" s="93">
        <v>7600000</v>
      </c>
      <c r="B106" s="27"/>
      <c r="C106" s="51" t="s">
        <v>153</v>
      </c>
      <c r="D106" s="30">
        <f>D107</f>
        <v>1069504947</v>
      </c>
      <c r="E106" s="30">
        <f>E107</f>
        <v>4800000</v>
      </c>
      <c r="F106" s="30">
        <f t="shared" si="6"/>
        <v>1074304947</v>
      </c>
      <c r="G106" s="7"/>
      <c r="H106" s="2"/>
    </row>
    <row r="107" spans="1:8" ht="39.75" customHeight="1">
      <c r="A107" s="93">
        <v>7610000</v>
      </c>
      <c r="B107" s="51"/>
      <c r="C107" s="51" t="s">
        <v>153</v>
      </c>
      <c r="D107" s="30">
        <v>1069504947</v>
      </c>
      <c r="E107" s="30">
        <f>SUM(E108:E108)</f>
        <v>4800000</v>
      </c>
      <c r="F107" s="30">
        <f t="shared" si="6"/>
        <v>1074304947</v>
      </c>
      <c r="G107" s="7"/>
      <c r="H107" s="2"/>
    </row>
    <row r="108" spans="1:8" ht="26.25" customHeight="1">
      <c r="A108" s="70">
        <v>7618700</v>
      </c>
      <c r="B108" s="70">
        <v>8700</v>
      </c>
      <c r="C108" s="50" t="s">
        <v>154</v>
      </c>
      <c r="D108" s="45">
        <v>99807860</v>
      </c>
      <c r="E108" s="45">
        <f>SUM(E110:E111)</f>
        <v>4800000</v>
      </c>
      <c r="F108" s="45">
        <f t="shared" si="6"/>
        <v>104607860</v>
      </c>
      <c r="G108" s="7"/>
      <c r="H108" s="2"/>
    </row>
    <row r="109" spans="1:8" ht="36" customHeight="1">
      <c r="A109" s="70"/>
      <c r="B109" s="104"/>
      <c r="C109" s="48" t="s">
        <v>161</v>
      </c>
      <c r="D109" s="45"/>
      <c r="E109" s="45"/>
      <c r="F109" s="45"/>
      <c r="G109" s="7"/>
      <c r="H109" s="2"/>
    </row>
    <row r="110" spans="1:8" ht="26.25" customHeight="1">
      <c r="A110" s="70"/>
      <c r="B110" s="104"/>
      <c r="C110" s="48" t="s">
        <v>162</v>
      </c>
      <c r="D110" s="58">
        <v>12277820</v>
      </c>
      <c r="E110" s="58">
        <f>2714000-1414000</f>
        <v>1300000</v>
      </c>
      <c r="F110" s="58">
        <f t="shared" ref="F110" si="7">D110+E110</f>
        <v>13577820</v>
      </c>
      <c r="G110" s="7"/>
      <c r="H110" s="2"/>
    </row>
    <row r="111" spans="1:8" ht="29.25" customHeight="1" thickBot="1">
      <c r="A111" s="70"/>
      <c r="B111" s="69"/>
      <c r="C111" s="48" t="s">
        <v>163</v>
      </c>
      <c r="D111" s="58">
        <v>11315750</v>
      </c>
      <c r="E111" s="58">
        <f>3500000</f>
        <v>3500000</v>
      </c>
      <c r="F111" s="58">
        <f t="shared" si="6"/>
        <v>14815750</v>
      </c>
      <c r="G111" s="7"/>
      <c r="H111" s="2"/>
    </row>
    <row r="112" spans="1:8" ht="38.25" customHeight="1">
      <c r="A112" s="41"/>
      <c r="B112" s="66"/>
      <c r="C112" s="38" t="s">
        <v>10</v>
      </c>
      <c r="D112" s="53">
        <f>502488336</f>
        <v>502488336</v>
      </c>
      <c r="E112" s="28">
        <f>E114+E122+E136+E140+E147+E152+E156+E165+E182+E191+E200+E206</f>
        <v>118003057</v>
      </c>
      <c r="F112" s="28">
        <f t="shared" si="5"/>
        <v>620491393</v>
      </c>
      <c r="G112" s="7"/>
      <c r="H112" s="2"/>
    </row>
    <row r="113" spans="1:8" ht="20.25" customHeight="1" thickBot="1">
      <c r="A113" s="42"/>
      <c r="B113" s="67"/>
      <c r="C113" s="39" t="s">
        <v>6</v>
      </c>
      <c r="D113" s="29">
        <f>342527750</f>
        <v>342527750</v>
      </c>
      <c r="E113" s="29">
        <f>E116+E124++E142+E149+E158+E167+E202+E207+E184</f>
        <v>86173492</v>
      </c>
      <c r="F113" s="29">
        <f t="shared" si="5"/>
        <v>428701242</v>
      </c>
      <c r="G113" s="7"/>
      <c r="H113" s="2"/>
    </row>
    <row r="114" spans="1:8" ht="39" customHeight="1">
      <c r="A114" s="89" t="s">
        <v>22</v>
      </c>
      <c r="B114" s="51"/>
      <c r="C114" s="51" t="s">
        <v>21</v>
      </c>
      <c r="D114" s="30">
        <v>20078635</v>
      </c>
      <c r="E114" s="30">
        <f>E115</f>
        <v>5487800</v>
      </c>
      <c r="F114" s="30">
        <f t="shared" si="5"/>
        <v>25566435</v>
      </c>
      <c r="G114" s="7"/>
      <c r="H114" s="7"/>
    </row>
    <row r="115" spans="1:8" ht="39" customHeight="1">
      <c r="A115" s="89" t="s">
        <v>23</v>
      </c>
      <c r="B115" s="51"/>
      <c r="C115" s="51" t="s">
        <v>21</v>
      </c>
      <c r="D115" s="30">
        <v>20078635</v>
      </c>
      <c r="E115" s="30">
        <f>E117+E119</f>
        <v>5487800</v>
      </c>
      <c r="F115" s="30">
        <f t="shared" si="5"/>
        <v>25566435</v>
      </c>
      <c r="G115" s="7"/>
      <c r="H115" s="7"/>
    </row>
    <row r="116" spans="1:8" ht="23.25" customHeight="1">
      <c r="A116" s="94"/>
      <c r="B116" s="71"/>
      <c r="C116" s="71" t="s">
        <v>6</v>
      </c>
      <c r="D116" s="46">
        <v>20019131</v>
      </c>
      <c r="E116" s="46">
        <f>E118+E121</f>
        <v>5487800</v>
      </c>
      <c r="F116" s="46">
        <f t="shared" ref="F116:F153" si="8">D116+E116</f>
        <v>25506931</v>
      </c>
      <c r="G116" s="7"/>
      <c r="H116" s="7"/>
    </row>
    <row r="117" spans="1:8" ht="102.75" customHeight="1">
      <c r="A117" s="70" t="s">
        <v>30</v>
      </c>
      <c r="B117" s="70" t="s">
        <v>31</v>
      </c>
      <c r="C117" s="50" t="s">
        <v>29</v>
      </c>
      <c r="D117" s="47">
        <v>20067135</v>
      </c>
      <c r="E117" s="45">
        <f>E118</f>
        <v>4980000</v>
      </c>
      <c r="F117" s="45">
        <f t="shared" si="8"/>
        <v>25047135</v>
      </c>
      <c r="G117" s="7" t="s">
        <v>113</v>
      </c>
      <c r="H117" s="7">
        <v>4500000</v>
      </c>
    </row>
    <row r="118" spans="1:8" ht="23.25" customHeight="1">
      <c r="A118" s="59"/>
      <c r="B118" s="59"/>
      <c r="C118" s="48" t="s">
        <v>6</v>
      </c>
      <c r="D118" s="72">
        <v>20019131</v>
      </c>
      <c r="E118" s="58">
        <f>4500000+480000</f>
        <v>4980000</v>
      </c>
      <c r="F118" s="58">
        <f t="shared" si="8"/>
        <v>24999131</v>
      </c>
      <c r="G118" s="7" t="s">
        <v>171</v>
      </c>
      <c r="H118" s="7">
        <f>E117-H117</f>
        <v>480000</v>
      </c>
    </row>
    <row r="119" spans="1:8" ht="23.25" customHeight="1">
      <c r="A119" s="70" t="s">
        <v>94</v>
      </c>
      <c r="B119" s="70">
        <v>6660</v>
      </c>
      <c r="C119" s="50" t="s">
        <v>92</v>
      </c>
      <c r="D119" s="60">
        <f>D120</f>
        <v>0</v>
      </c>
      <c r="E119" s="60">
        <f>E120</f>
        <v>507800</v>
      </c>
      <c r="F119" s="45">
        <f t="shared" si="8"/>
        <v>507800</v>
      </c>
      <c r="G119" s="7"/>
      <c r="H119" s="7"/>
    </row>
    <row r="120" spans="1:8" ht="23.25" customHeight="1">
      <c r="A120" s="74" t="s">
        <v>95</v>
      </c>
      <c r="B120" s="74">
        <v>6662</v>
      </c>
      <c r="C120" s="48" t="s">
        <v>93</v>
      </c>
      <c r="D120" s="73">
        <v>0</v>
      </c>
      <c r="E120" s="73">
        <f>E121</f>
        <v>507800</v>
      </c>
      <c r="F120" s="58">
        <f t="shared" si="8"/>
        <v>507800</v>
      </c>
      <c r="G120" s="7" t="s">
        <v>135</v>
      </c>
      <c r="H120" s="7"/>
    </row>
    <row r="121" spans="1:8" ht="23.25" customHeight="1">
      <c r="A121" s="59"/>
      <c r="B121" s="59"/>
      <c r="C121" s="48" t="s">
        <v>6</v>
      </c>
      <c r="D121" s="72">
        <v>0</v>
      </c>
      <c r="E121" s="58">
        <f>507800</f>
        <v>507800</v>
      </c>
      <c r="F121" s="58">
        <f t="shared" si="8"/>
        <v>507800</v>
      </c>
      <c r="G121" s="7"/>
      <c r="H121" s="7"/>
    </row>
    <row r="122" spans="1:8" ht="39" customHeight="1">
      <c r="A122" s="89" t="s">
        <v>25</v>
      </c>
      <c r="B122" s="51"/>
      <c r="C122" s="51" t="s">
        <v>24</v>
      </c>
      <c r="D122" s="30">
        <f>D123</f>
        <v>100304167</v>
      </c>
      <c r="E122" s="30">
        <f>E123</f>
        <v>9816307</v>
      </c>
      <c r="F122" s="30">
        <f t="shared" si="8"/>
        <v>110120474</v>
      </c>
      <c r="G122" s="7"/>
      <c r="H122" s="7"/>
    </row>
    <row r="123" spans="1:8" ht="39.75" customHeight="1">
      <c r="A123" s="89" t="s">
        <v>26</v>
      </c>
      <c r="B123" s="51"/>
      <c r="C123" s="51" t="s">
        <v>24</v>
      </c>
      <c r="D123" s="30">
        <v>100304167</v>
      </c>
      <c r="E123" s="30">
        <f>E125+E127+E129</f>
        <v>9816307</v>
      </c>
      <c r="F123" s="30">
        <f t="shared" si="8"/>
        <v>110120474</v>
      </c>
      <c r="G123" s="7"/>
      <c r="H123" s="7"/>
    </row>
    <row r="124" spans="1:8" ht="23.25" customHeight="1">
      <c r="A124" s="94"/>
      <c r="B124" s="71"/>
      <c r="C124" s="71" t="s">
        <v>6</v>
      </c>
      <c r="D124" s="46">
        <v>23361130</v>
      </c>
      <c r="E124" s="46">
        <f>E126+E128+E132+E135</f>
        <v>9816307</v>
      </c>
      <c r="F124" s="46">
        <f t="shared" si="8"/>
        <v>33177437</v>
      </c>
      <c r="G124" s="7"/>
      <c r="H124" s="7"/>
    </row>
    <row r="125" spans="1:8" ht="54" customHeight="1">
      <c r="A125" s="70" t="s">
        <v>68</v>
      </c>
      <c r="B125" s="70">
        <v>1170</v>
      </c>
      <c r="C125" s="50" t="s">
        <v>64</v>
      </c>
      <c r="D125" s="47">
        <v>19831820</v>
      </c>
      <c r="E125" s="45">
        <f>E126</f>
        <v>4588314</v>
      </c>
      <c r="F125" s="45">
        <f t="shared" si="8"/>
        <v>24420134</v>
      </c>
      <c r="G125" s="7" t="s">
        <v>135</v>
      </c>
      <c r="H125" s="7"/>
    </row>
    <row r="126" spans="1:8" ht="23.25" customHeight="1">
      <c r="A126" s="59"/>
      <c r="B126" s="59"/>
      <c r="C126" s="48" t="s">
        <v>6</v>
      </c>
      <c r="D126" s="72">
        <v>19831820</v>
      </c>
      <c r="E126" s="58">
        <f>798314+3790000</f>
        <v>4588314</v>
      </c>
      <c r="F126" s="58">
        <f t="shared" si="8"/>
        <v>24420134</v>
      </c>
      <c r="G126" s="7"/>
      <c r="H126" s="7"/>
    </row>
    <row r="127" spans="1:8" ht="55.5" customHeight="1">
      <c r="A127" s="70" t="s">
        <v>63</v>
      </c>
      <c r="B127" s="70">
        <v>1090</v>
      </c>
      <c r="C127" s="50" t="s">
        <v>60</v>
      </c>
      <c r="D127" s="47">
        <v>1912875</v>
      </c>
      <c r="E127" s="45">
        <f>E128</f>
        <v>53800</v>
      </c>
      <c r="F127" s="45">
        <f t="shared" si="8"/>
        <v>1966675</v>
      </c>
      <c r="G127" s="7"/>
      <c r="H127" s="7"/>
    </row>
    <row r="128" spans="1:8" ht="23.25" customHeight="1">
      <c r="A128" s="59"/>
      <c r="B128" s="59"/>
      <c r="C128" s="48" t="s">
        <v>6</v>
      </c>
      <c r="D128" s="72">
        <v>1000000</v>
      </c>
      <c r="E128" s="58">
        <f>53800</f>
        <v>53800</v>
      </c>
      <c r="F128" s="58">
        <f t="shared" si="8"/>
        <v>1053800</v>
      </c>
      <c r="G128" s="7"/>
      <c r="H128" s="7"/>
    </row>
    <row r="129" spans="1:8" ht="25.5" customHeight="1">
      <c r="A129" s="70">
        <v>1018800</v>
      </c>
      <c r="B129" s="70">
        <v>8800</v>
      </c>
      <c r="C129" s="50" t="s">
        <v>106</v>
      </c>
      <c r="D129" s="60">
        <f>D132</f>
        <v>0</v>
      </c>
      <c r="E129" s="60">
        <f>E130+E133</f>
        <v>5174193</v>
      </c>
      <c r="F129" s="45">
        <f t="shared" si="8"/>
        <v>5174193</v>
      </c>
      <c r="G129" s="7"/>
      <c r="H129" s="7"/>
    </row>
    <row r="130" spans="1:8" ht="102" customHeight="1">
      <c r="A130" s="91"/>
      <c r="B130" s="76"/>
      <c r="C130" s="102" t="s">
        <v>155</v>
      </c>
      <c r="D130" s="60">
        <v>0</v>
      </c>
      <c r="E130" s="60">
        <f>E131</f>
        <v>80000</v>
      </c>
      <c r="F130" s="45">
        <f>D130+E130</f>
        <v>80000</v>
      </c>
      <c r="G130" s="7"/>
      <c r="H130" s="7"/>
    </row>
    <row r="131" spans="1:8" ht="33.75" customHeight="1">
      <c r="A131" s="91"/>
      <c r="B131" s="76"/>
      <c r="C131" s="100" t="s">
        <v>156</v>
      </c>
      <c r="D131" s="73">
        <v>0</v>
      </c>
      <c r="E131" s="73">
        <f>E132</f>
        <v>80000</v>
      </c>
      <c r="F131" s="58">
        <f>D131+E131</f>
        <v>80000</v>
      </c>
      <c r="G131" s="7"/>
      <c r="H131" s="7"/>
    </row>
    <row r="132" spans="1:8" ht="24.75" customHeight="1">
      <c r="A132" s="91"/>
      <c r="B132" s="76"/>
      <c r="C132" s="48" t="s">
        <v>6</v>
      </c>
      <c r="D132" s="73">
        <v>0</v>
      </c>
      <c r="E132" s="73">
        <f>80000</f>
        <v>80000</v>
      </c>
      <c r="F132" s="58">
        <f t="shared" si="8"/>
        <v>80000</v>
      </c>
      <c r="G132" s="7"/>
      <c r="H132" s="7"/>
    </row>
    <row r="133" spans="1:8" ht="84.75" customHeight="1">
      <c r="A133" s="91"/>
      <c r="B133" s="76"/>
      <c r="C133" s="102" t="s">
        <v>157</v>
      </c>
      <c r="D133" s="60">
        <v>0</v>
      </c>
      <c r="E133" s="60">
        <f>E134</f>
        <v>5094193</v>
      </c>
      <c r="F133" s="60">
        <f>D133+E133</f>
        <v>5094193</v>
      </c>
      <c r="G133" s="7"/>
      <c r="H133" s="7"/>
    </row>
    <row r="134" spans="1:8" ht="33.75" customHeight="1">
      <c r="A134" s="91"/>
      <c r="B134" s="76"/>
      <c r="C134" s="100" t="s">
        <v>158</v>
      </c>
      <c r="D134" s="73">
        <v>0</v>
      </c>
      <c r="E134" s="73">
        <f>E135</f>
        <v>5094193</v>
      </c>
      <c r="F134" s="58">
        <f>D134+E134</f>
        <v>5094193</v>
      </c>
      <c r="G134" s="7"/>
      <c r="H134" s="7"/>
    </row>
    <row r="135" spans="1:8" ht="27" customHeight="1">
      <c r="A135" s="91"/>
      <c r="B135" s="76"/>
      <c r="C135" s="48" t="s">
        <v>6</v>
      </c>
      <c r="D135" s="73">
        <v>0</v>
      </c>
      <c r="E135" s="73">
        <f>5094193</f>
        <v>5094193</v>
      </c>
      <c r="F135" s="58">
        <f>D135+E135</f>
        <v>5094193</v>
      </c>
      <c r="G135" s="7"/>
      <c r="H135" s="7"/>
    </row>
    <row r="136" spans="1:8" ht="39" customHeight="1">
      <c r="A136" s="89">
        <v>1100000</v>
      </c>
      <c r="B136" s="51"/>
      <c r="C136" s="51" t="s">
        <v>36</v>
      </c>
      <c r="D136" s="30">
        <f>D137</f>
        <v>12300</v>
      </c>
      <c r="E136" s="30">
        <f>E137</f>
        <v>290942</v>
      </c>
      <c r="F136" s="30">
        <f t="shared" si="8"/>
        <v>303242</v>
      </c>
      <c r="G136" s="7"/>
      <c r="H136" s="7"/>
    </row>
    <row r="137" spans="1:8" ht="40.5" customHeight="1">
      <c r="A137" s="89">
        <v>1110000</v>
      </c>
      <c r="B137" s="51"/>
      <c r="C137" s="51" t="s">
        <v>36</v>
      </c>
      <c r="D137" s="30">
        <v>12300</v>
      </c>
      <c r="E137" s="30">
        <f>E138</f>
        <v>290942</v>
      </c>
      <c r="F137" s="30">
        <f t="shared" si="8"/>
        <v>303242</v>
      </c>
      <c r="G137" s="7"/>
      <c r="H137" s="7"/>
    </row>
    <row r="138" spans="1:8" ht="54" customHeight="1">
      <c r="A138" s="70">
        <v>1118100</v>
      </c>
      <c r="B138" s="70">
        <v>8100</v>
      </c>
      <c r="C138" s="50" t="s">
        <v>37</v>
      </c>
      <c r="D138" s="45">
        <f>D139</f>
        <v>12300</v>
      </c>
      <c r="E138" s="45">
        <f>E139</f>
        <v>290942</v>
      </c>
      <c r="F138" s="45">
        <f t="shared" si="8"/>
        <v>303242</v>
      </c>
      <c r="G138" s="7" t="s">
        <v>172</v>
      </c>
      <c r="H138" s="7"/>
    </row>
    <row r="139" spans="1:8" ht="69.75" customHeight="1">
      <c r="A139" s="74">
        <v>1118108</v>
      </c>
      <c r="B139" s="74">
        <v>8108</v>
      </c>
      <c r="C139" s="48" t="s">
        <v>39</v>
      </c>
      <c r="D139" s="58">
        <f>12300</f>
        <v>12300</v>
      </c>
      <c r="E139" s="58">
        <f>290942</f>
        <v>290942</v>
      </c>
      <c r="F139" s="58">
        <f t="shared" si="8"/>
        <v>303242</v>
      </c>
      <c r="G139" s="7"/>
      <c r="H139" s="7"/>
    </row>
    <row r="140" spans="1:8" ht="41.25" customHeight="1">
      <c r="A140" s="89">
        <v>1400000</v>
      </c>
      <c r="B140" s="51"/>
      <c r="C140" s="51" t="s">
        <v>40</v>
      </c>
      <c r="D140" s="30">
        <v>60360485</v>
      </c>
      <c r="E140" s="30">
        <f>E141</f>
        <v>38326842</v>
      </c>
      <c r="F140" s="30">
        <f t="shared" si="8"/>
        <v>98687327</v>
      </c>
      <c r="G140" s="7" t="s">
        <v>171</v>
      </c>
      <c r="H140" s="7"/>
    </row>
    <row r="141" spans="1:8" ht="36.75" customHeight="1">
      <c r="A141" s="89">
        <v>1410000</v>
      </c>
      <c r="B141" s="51"/>
      <c r="C141" s="51" t="s">
        <v>40</v>
      </c>
      <c r="D141" s="30">
        <v>60360485</v>
      </c>
      <c r="E141" s="30">
        <f>E143+E145</f>
        <v>38326842</v>
      </c>
      <c r="F141" s="30">
        <f t="shared" si="8"/>
        <v>98687327</v>
      </c>
      <c r="G141" s="7"/>
      <c r="H141" s="7"/>
    </row>
    <row r="142" spans="1:8" ht="23.25" customHeight="1">
      <c r="A142" s="94"/>
      <c r="B142" s="71"/>
      <c r="C142" s="71" t="s">
        <v>6</v>
      </c>
      <c r="D142" s="46">
        <v>33156597</v>
      </c>
      <c r="E142" s="46">
        <f>E144+E146</f>
        <v>38326842</v>
      </c>
      <c r="F142" s="46">
        <f t="shared" si="8"/>
        <v>71483439</v>
      </c>
      <c r="G142" s="7"/>
      <c r="H142" s="7"/>
    </row>
    <row r="143" spans="1:8" ht="35.25" customHeight="1">
      <c r="A143" s="70">
        <v>1412010</v>
      </c>
      <c r="B143" s="70" t="s">
        <v>42</v>
      </c>
      <c r="C143" s="50" t="s">
        <v>41</v>
      </c>
      <c r="D143" s="47">
        <v>30692287</v>
      </c>
      <c r="E143" s="45">
        <f>E144</f>
        <v>13012462</v>
      </c>
      <c r="F143" s="45">
        <f t="shared" si="8"/>
        <v>43704749</v>
      </c>
      <c r="G143" s="7"/>
      <c r="H143" s="7"/>
    </row>
    <row r="144" spans="1:8" ht="23.25" customHeight="1">
      <c r="A144" s="59"/>
      <c r="B144" s="59"/>
      <c r="C144" s="48" t="s">
        <v>6</v>
      </c>
      <c r="D144" s="72">
        <v>19344397</v>
      </c>
      <c r="E144" s="58">
        <f>13712462-700000</f>
        <v>13012462</v>
      </c>
      <c r="F144" s="58">
        <f t="shared" si="8"/>
        <v>32356859</v>
      </c>
      <c r="G144" s="7"/>
      <c r="H144" s="7"/>
    </row>
    <row r="145" spans="1:8" ht="23.25" customHeight="1">
      <c r="A145" s="70">
        <v>1412180</v>
      </c>
      <c r="B145" s="70">
        <v>2180</v>
      </c>
      <c r="C145" s="50" t="s">
        <v>43</v>
      </c>
      <c r="D145" s="47">
        <v>13404642</v>
      </c>
      <c r="E145" s="45">
        <f>E146</f>
        <v>25314380</v>
      </c>
      <c r="F145" s="45">
        <f t="shared" si="8"/>
        <v>38719022</v>
      </c>
      <c r="G145" s="7"/>
      <c r="H145" s="7"/>
    </row>
    <row r="146" spans="1:8" ht="23.25" customHeight="1">
      <c r="A146" s="59"/>
      <c r="B146" s="59"/>
      <c r="C146" s="48" t="s">
        <v>6</v>
      </c>
      <c r="D146" s="72">
        <v>12812200</v>
      </c>
      <c r="E146" s="58">
        <f>25314380</f>
        <v>25314380</v>
      </c>
      <c r="F146" s="58">
        <f t="shared" si="8"/>
        <v>38126580</v>
      </c>
      <c r="G146" s="7"/>
      <c r="H146" s="7"/>
    </row>
    <row r="147" spans="1:8" ht="57" customHeight="1">
      <c r="A147" s="89">
        <v>1500000</v>
      </c>
      <c r="B147" s="51"/>
      <c r="C147" s="51" t="s">
        <v>13</v>
      </c>
      <c r="D147" s="30">
        <f>D148</f>
        <v>1601961</v>
      </c>
      <c r="E147" s="30">
        <f>E148</f>
        <v>9240</v>
      </c>
      <c r="F147" s="30">
        <f>D147+E147</f>
        <v>1611201</v>
      </c>
      <c r="G147" s="7"/>
      <c r="H147" s="7"/>
    </row>
    <row r="148" spans="1:8" ht="55.5" customHeight="1">
      <c r="A148" s="89">
        <v>1510000</v>
      </c>
      <c r="B148" s="51"/>
      <c r="C148" s="51" t="s">
        <v>13</v>
      </c>
      <c r="D148" s="30">
        <v>1601961</v>
      </c>
      <c r="E148" s="30">
        <f>E150</f>
        <v>9240</v>
      </c>
      <c r="F148" s="30">
        <f>D148+E148</f>
        <v>1611201</v>
      </c>
      <c r="G148" s="7"/>
      <c r="H148" s="7"/>
    </row>
    <row r="149" spans="1:8" ht="23.25" customHeight="1">
      <c r="A149" s="94"/>
      <c r="B149" s="71"/>
      <c r="C149" s="71" t="s">
        <v>6</v>
      </c>
      <c r="D149" s="46">
        <v>46760</v>
      </c>
      <c r="E149" s="46">
        <f>E151</f>
        <v>9240</v>
      </c>
      <c r="F149" s="46">
        <f>D149+E149</f>
        <v>56000</v>
      </c>
      <c r="G149" s="7"/>
      <c r="H149" s="7"/>
    </row>
    <row r="150" spans="1:8" ht="84" customHeight="1">
      <c r="A150" s="70" t="s">
        <v>110</v>
      </c>
      <c r="B150" s="70">
        <v>8800</v>
      </c>
      <c r="C150" s="50" t="s">
        <v>77</v>
      </c>
      <c r="D150" s="60">
        <f>D151</f>
        <v>20160</v>
      </c>
      <c r="E150" s="60">
        <f>E151</f>
        <v>9240</v>
      </c>
      <c r="F150" s="45">
        <f>D150+E150</f>
        <v>29400</v>
      </c>
      <c r="G150" s="7"/>
      <c r="H150" s="7"/>
    </row>
    <row r="151" spans="1:8" ht="23.25" customHeight="1">
      <c r="A151" s="59"/>
      <c r="B151" s="59"/>
      <c r="C151" s="48" t="s">
        <v>6</v>
      </c>
      <c r="D151" s="72">
        <v>20160</v>
      </c>
      <c r="E151" s="58">
        <v>9240</v>
      </c>
      <c r="F151" s="58">
        <f>D151+E151</f>
        <v>29400</v>
      </c>
      <c r="G151" s="7"/>
      <c r="H151" s="7"/>
    </row>
    <row r="152" spans="1:8" ht="36" customHeight="1">
      <c r="A152" s="89">
        <v>2000000</v>
      </c>
      <c r="B152" s="51"/>
      <c r="C152" s="51" t="s">
        <v>48</v>
      </c>
      <c r="D152" s="30">
        <f>D153</f>
        <v>1839827</v>
      </c>
      <c r="E152" s="30">
        <f>E153</f>
        <v>12000</v>
      </c>
      <c r="F152" s="30">
        <f t="shared" si="8"/>
        <v>1851827</v>
      </c>
      <c r="G152" s="7"/>
      <c r="H152" s="7"/>
    </row>
    <row r="153" spans="1:8" ht="39" customHeight="1">
      <c r="A153" s="89">
        <v>2010000</v>
      </c>
      <c r="B153" s="51"/>
      <c r="C153" s="51" t="s">
        <v>48</v>
      </c>
      <c r="D153" s="30">
        <v>1839827</v>
      </c>
      <c r="E153" s="30">
        <f>E154</f>
        <v>12000</v>
      </c>
      <c r="F153" s="30">
        <f t="shared" si="8"/>
        <v>1851827</v>
      </c>
      <c r="G153" s="7"/>
      <c r="H153" s="7"/>
    </row>
    <row r="154" spans="1:8" ht="25.5" customHeight="1">
      <c r="A154" s="70">
        <v>2017310</v>
      </c>
      <c r="B154" s="70">
        <v>7310</v>
      </c>
      <c r="C154" s="50" t="s">
        <v>50</v>
      </c>
      <c r="D154" s="47">
        <f>D155</f>
        <v>0</v>
      </c>
      <c r="E154" s="45">
        <f>E155</f>
        <v>12000</v>
      </c>
      <c r="F154" s="45">
        <f t="shared" ref="F154:F166" si="9">D154+E154</f>
        <v>12000</v>
      </c>
      <c r="G154" s="7" t="s">
        <v>131</v>
      </c>
      <c r="H154" s="7"/>
    </row>
    <row r="155" spans="1:8" ht="23.25" customHeight="1">
      <c r="A155" s="59"/>
      <c r="B155" s="59"/>
      <c r="C155" s="48" t="s">
        <v>49</v>
      </c>
      <c r="D155" s="72">
        <v>0</v>
      </c>
      <c r="E155" s="58">
        <f>12000</f>
        <v>12000</v>
      </c>
      <c r="F155" s="58">
        <f t="shared" si="9"/>
        <v>12000</v>
      </c>
      <c r="G155" s="7"/>
      <c r="H155" s="7"/>
    </row>
    <row r="156" spans="1:8" ht="36" customHeight="1">
      <c r="A156" s="89">
        <v>2400000</v>
      </c>
      <c r="B156" s="51"/>
      <c r="C156" s="51" t="s">
        <v>51</v>
      </c>
      <c r="D156" s="30">
        <f>D157</f>
        <v>21846859</v>
      </c>
      <c r="E156" s="30">
        <f>E157</f>
        <v>2116496</v>
      </c>
      <c r="F156" s="30">
        <f t="shared" si="9"/>
        <v>23963355</v>
      </c>
      <c r="G156" s="7"/>
      <c r="H156" s="7"/>
    </row>
    <row r="157" spans="1:8" ht="38.25" customHeight="1">
      <c r="A157" s="89">
        <v>2410000</v>
      </c>
      <c r="B157" s="51"/>
      <c r="C157" s="51" t="s">
        <v>51</v>
      </c>
      <c r="D157" s="30">
        <v>21846859</v>
      </c>
      <c r="E157" s="30">
        <f>E159+E161+E163</f>
        <v>2116496</v>
      </c>
      <c r="F157" s="30">
        <f t="shared" si="9"/>
        <v>23963355</v>
      </c>
      <c r="G157" s="7" t="s">
        <v>171</v>
      </c>
      <c r="H157" s="7"/>
    </row>
    <row r="158" spans="1:8" ht="23.25" customHeight="1">
      <c r="A158" s="94"/>
      <c r="B158" s="71"/>
      <c r="C158" s="71" t="s">
        <v>6</v>
      </c>
      <c r="D158" s="46">
        <v>15893083</v>
      </c>
      <c r="E158" s="46">
        <f>E160+E162+E164</f>
        <v>2116496</v>
      </c>
      <c r="F158" s="46">
        <f t="shared" si="9"/>
        <v>18009579</v>
      </c>
      <c r="G158" s="7"/>
      <c r="H158" s="7"/>
    </row>
    <row r="159" spans="1:8" ht="23.25" customHeight="1">
      <c r="A159" s="70">
        <v>2414020</v>
      </c>
      <c r="B159" s="70">
        <v>4020</v>
      </c>
      <c r="C159" s="50" t="s">
        <v>78</v>
      </c>
      <c r="D159" s="47">
        <v>14497000</v>
      </c>
      <c r="E159" s="45">
        <f>E160</f>
        <v>1421924</v>
      </c>
      <c r="F159" s="45">
        <f t="shared" si="9"/>
        <v>15918924</v>
      </c>
      <c r="G159" s="7"/>
      <c r="H159" s="7"/>
    </row>
    <row r="160" spans="1:8" ht="21.75" customHeight="1">
      <c r="A160" s="59"/>
      <c r="B160" s="59"/>
      <c r="C160" s="48" t="s">
        <v>6</v>
      </c>
      <c r="D160" s="72">
        <v>14497000</v>
      </c>
      <c r="E160" s="58">
        <v>1421924</v>
      </c>
      <c r="F160" s="58">
        <f t="shared" si="9"/>
        <v>15918924</v>
      </c>
      <c r="G160" s="7"/>
      <c r="H160" s="7"/>
    </row>
    <row r="161" spans="1:8" ht="21.75" customHeight="1">
      <c r="A161" s="70">
        <v>2414070</v>
      </c>
      <c r="B161" s="70">
        <v>4070</v>
      </c>
      <c r="C161" s="50" t="s">
        <v>145</v>
      </c>
      <c r="D161" s="47">
        <v>119715</v>
      </c>
      <c r="E161" s="45">
        <f>E162</f>
        <v>619366</v>
      </c>
      <c r="F161" s="45">
        <f>D161+E161</f>
        <v>739081</v>
      </c>
      <c r="G161" s="7"/>
      <c r="H161" s="7"/>
    </row>
    <row r="162" spans="1:8" ht="21.75" customHeight="1">
      <c r="A162" s="59"/>
      <c r="B162" s="59"/>
      <c r="C162" s="48" t="s">
        <v>6</v>
      </c>
      <c r="D162" s="72">
        <v>0</v>
      </c>
      <c r="E162" s="58">
        <f>549366+70000</f>
        <v>619366</v>
      </c>
      <c r="F162" s="58">
        <f>D162+E162</f>
        <v>619366</v>
      </c>
      <c r="G162" s="7"/>
      <c r="H162" s="7"/>
    </row>
    <row r="163" spans="1:8" ht="34.5" customHeight="1">
      <c r="A163" s="70">
        <v>2414090</v>
      </c>
      <c r="B163" s="70">
        <v>4090</v>
      </c>
      <c r="C163" s="50" t="s">
        <v>146</v>
      </c>
      <c r="D163" s="47">
        <v>578146</v>
      </c>
      <c r="E163" s="45">
        <f>E164</f>
        <v>75206</v>
      </c>
      <c r="F163" s="45">
        <f>D163+E163</f>
        <v>653352</v>
      </c>
      <c r="G163" s="7"/>
      <c r="H163" s="7"/>
    </row>
    <row r="164" spans="1:8" ht="21.75" customHeight="1">
      <c r="A164" s="59"/>
      <c r="B164" s="59"/>
      <c r="C164" s="48" t="s">
        <v>6</v>
      </c>
      <c r="D164" s="72">
        <v>171100</v>
      </c>
      <c r="E164" s="58">
        <f>5206+70000</f>
        <v>75206</v>
      </c>
      <c r="F164" s="58">
        <f>D164+E164</f>
        <v>246306</v>
      </c>
      <c r="G164" s="7"/>
      <c r="H164" s="7"/>
    </row>
    <row r="165" spans="1:8" ht="56.25" customHeight="1">
      <c r="A165" s="89">
        <v>4000000</v>
      </c>
      <c r="B165" s="51"/>
      <c r="C165" s="51" t="s">
        <v>8</v>
      </c>
      <c r="D165" s="30">
        <f>D166</f>
        <v>202811356</v>
      </c>
      <c r="E165" s="30">
        <f>E166</f>
        <v>21569400</v>
      </c>
      <c r="F165" s="30">
        <f t="shared" si="9"/>
        <v>224380756</v>
      </c>
      <c r="G165" s="7"/>
      <c r="H165" s="7"/>
    </row>
    <row r="166" spans="1:8" ht="56.25" customHeight="1">
      <c r="A166" s="89">
        <v>4010000</v>
      </c>
      <c r="B166" s="51"/>
      <c r="C166" s="51" t="s">
        <v>8</v>
      </c>
      <c r="D166" s="30">
        <v>202811356</v>
      </c>
      <c r="E166" s="30">
        <f>E168+E172+E174+E176+E178+E180</f>
        <v>21569400</v>
      </c>
      <c r="F166" s="30">
        <f t="shared" si="9"/>
        <v>224380756</v>
      </c>
      <c r="G166" s="7"/>
      <c r="H166" s="7"/>
    </row>
    <row r="167" spans="1:8" ht="23.25" customHeight="1">
      <c r="A167" s="94"/>
      <c r="B167" s="71"/>
      <c r="C167" s="71" t="s">
        <v>6</v>
      </c>
      <c r="D167" s="46">
        <v>173177756</v>
      </c>
      <c r="E167" s="46">
        <f>E171+E173+E175+E177+E179+E181</f>
        <v>21569400</v>
      </c>
      <c r="F167" s="46">
        <f t="shared" ref="F167:F180" si="10">D167+E167</f>
        <v>194747156</v>
      </c>
      <c r="G167" s="7"/>
      <c r="H167" s="7"/>
    </row>
    <row r="168" spans="1:8" ht="39.75" customHeight="1">
      <c r="A168" s="70">
        <v>4016050</v>
      </c>
      <c r="B168" s="70">
        <v>6050</v>
      </c>
      <c r="C168" s="50" t="s">
        <v>83</v>
      </c>
      <c r="D168" s="45">
        <v>0</v>
      </c>
      <c r="E168" s="45">
        <f>SUM(E169:E170)</f>
        <v>10169400</v>
      </c>
      <c r="F168" s="45">
        <f t="shared" si="10"/>
        <v>10169400</v>
      </c>
      <c r="G168" s="7">
        <v>16169400</v>
      </c>
      <c r="H168" s="7" t="s">
        <v>113</v>
      </c>
    </row>
    <row r="169" spans="1:8" ht="34.5" customHeight="1">
      <c r="A169" s="74" t="s">
        <v>125</v>
      </c>
      <c r="B169" s="74" t="s">
        <v>126</v>
      </c>
      <c r="C169" s="48" t="s">
        <v>124</v>
      </c>
      <c r="D169" s="58">
        <v>0</v>
      </c>
      <c r="E169" s="58">
        <f>3000000</f>
        <v>3000000</v>
      </c>
      <c r="F169" s="58">
        <f t="shared" si="10"/>
        <v>3000000</v>
      </c>
      <c r="G169" s="7"/>
      <c r="H169" s="7"/>
    </row>
    <row r="170" spans="1:8" ht="52.5" customHeight="1">
      <c r="A170" s="74">
        <v>4016052</v>
      </c>
      <c r="B170" s="74">
        <v>6052</v>
      </c>
      <c r="C170" s="48" t="s">
        <v>84</v>
      </c>
      <c r="D170" s="58">
        <v>0</v>
      </c>
      <c r="E170" s="58">
        <f>7169400</f>
        <v>7169400</v>
      </c>
      <c r="F170" s="58">
        <f t="shared" si="10"/>
        <v>7169400</v>
      </c>
      <c r="G170" s="7"/>
      <c r="H170" s="7"/>
    </row>
    <row r="171" spans="1:8" ht="21" customHeight="1">
      <c r="A171" s="59"/>
      <c r="B171" s="59"/>
      <c r="C171" s="48" t="s">
        <v>6</v>
      </c>
      <c r="D171" s="72">
        <v>0</v>
      </c>
      <c r="E171" s="58">
        <f>10169400</f>
        <v>10169400</v>
      </c>
      <c r="F171" s="58">
        <f t="shared" si="10"/>
        <v>10169400</v>
      </c>
      <c r="G171" s="7"/>
      <c r="H171" s="7"/>
    </row>
    <row r="172" spans="1:8" ht="27.75" customHeight="1">
      <c r="A172" s="70">
        <v>4016060</v>
      </c>
      <c r="B172" s="70">
        <v>6060</v>
      </c>
      <c r="C172" s="50" t="s">
        <v>7</v>
      </c>
      <c r="D172" s="47">
        <f>D173</f>
        <v>16378609</v>
      </c>
      <c r="E172" s="45">
        <f>E173</f>
        <v>1000000</v>
      </c>
      <c r="F172" s="45">
        <f t="shared" si="10"/>
        <v>17378609</v>
      </c>
      <c r="G172" s="7"/>
      <c r="H172" s="7"/>
    </row>
    <row r="173" spans="1:8" ht="23.25" customHeight="1">
      <c r="A173" s="59"/>
      <c r="B173" s="59"/>
      <c r="C173" s="48" t="s">
        <v>6</v>
      </c>
      <c r="D173" s="72">
        <v>16378609</v>
      </c>
      <c r="E173" s="58">
        <v>1000000</v>
      </c>
      <c r="F173" s="58">
        <f t="shared" si="10"/>
        <v>17378609</v>
      </c>
      <c r="G173" s="7"/>
      <c r="H173" s="7"/>
    </row>
    <row r="174" spans="1:8" ht="23.25" customHeight="1">
      <c r="A174" s="70" t="s">
        <v>143</v>
      </c>
      <c r="B174" s="70" t="s">
        <v>142</v>
      </c>
      <c r="C174" s="50" t="s">
        <v>144</v>
      </c>
      <c r="D174" s="45">
        <v>9000000</v>
      </c>
      <c r="E174" s="45">
        <f>E175</f>
        <v>300000</v>
      </c>
      <c r="F174" s="45">
        <f t="shared" si="10"/>
        <v>9300000</v>
      </c>
      <c r="G174" s="7" t="s">
        <v>135</v>
      </c>
      <c r="H174" s="7"/>
    </row>
    <row r="175" spans="1:8" ht="23.25" customHeight="1">
      <c r="A175" s="59"/>
      <c r="B175" s="59"/>
      <c r="C175" s="48" t="s">
        <v>6</v>
      </c>
      <c r="D175" s="72">
        <v>9000000</v>
      </c>
      <c r="E175" s="58">
        <f>300000</f>
        <v>300000</v>
      </c>
      <c r="F175" s="58">
        <f>D175+E175</f>
        <v>9300000</v>
      </c>
      <c r="G175" s="7"/>
      <c r="H175" s="7"/>
    </row>
    <row r="176" spans="1:8" ht="39.75" customHeight="1">
      <c r="A176" s="70">
        <v>4016650</v>
      </c>
      <c r="B176" s="70">
        <v>6650</v>
      </c>
      <c r="C176" s="50" t="s">
        <v>85</v>
      </c>
      <c r="D176" s="47">
        <v>1000000</v>
      </c>
      <c r="E176" s="45">
        <f>E177</f>
        <v>5000000</v>
      </c>
      <c r="F176" s="45">
        <f t="shared" si="10"/>
        <v>6000000</v>
      </c>
      <c r="G176" s="7"/>
      <c r="H176" s="7"/>
    </row>
    <row r="177" spans="1:8" ht="23.25" customHeight="1">
      <c r="A177" s="59"/>
      <c r="B177" s="59"/>
      <c r="C177" s="48" t="s">
        <v>6</v>
      </c>
      <c r="D177" s="72">
        <v>1000000</v>
      </c>
      <c r="E177" s="58">
        <f>5000000</f>
        <v>5000000</v>
      </c>
      <c r="F177" s="58">
        <f t="shared" si="10"/>
        <v>6000000</v>
      </c>
      <c r="G177" s="7"/>
      <c r="H177" s="7"/>
    </row>
    <row r="178" spans="1:8" ht="39.75" customHeight="1">
      <c r="A178" s="70">
        <v>4017470</v>
      </c>
      <c r="B178" s="70">
        <v>7470</v>
      </c>
      <c r="C178" s="50" t="s">
        <v>88</v>
      </c>
      <c r="D178" s="47">
        <v>1500000</v>
      </c>
      <c r="E178" s="45">
        <f>E179</f>
        <v>2100000</v>
      </c>
      <c r="F178" s="45">
        <f t="shared" si="10"/>
        <v>3600000</v>
      </c>
      <c r="G178" s="7" t="s">
        <v>135</v>
      </c>
      <c r="H178" s="7"/>
    </row>
    <row r="179" spans="1:8" ht="23.25" customHeight="1">
      <c r="A179" s="59"/>
      <c r="B179" s="59"/>
      <c r="C179" s="48" t="s">
        <v>6</v>
      </c>
      <c r="D179" s="72">
        <v>1500000</v>
      </c>
      <c r="E179" s="58">
        <f>600000+1500000</f>
        <v>2100000</v>
      </c>
      <c r="F179" s="58">
        <f t="shared" si="10"/>
        <v>3600000</v>
      </c>
      <c r="G179" s="7"/>
      <c r="H179" s="7"/>
    </row>
    <row r="180" spans="1:8" ht="31.5" customHeight="1">
      <c r="A180" s="70">
        <v>4017500</v>
      </c>
      <c r="B180" s="70">
        <v>7500</v>
      </c>
      <c r="C180" s="50" t="s">
        <v>86</v>
      </c>
      <c r="D180" s="45">
        <v>97103973</v>
      </c>
      <c r="E180" s="45">
        <f>E181</f>
        <v>3000000</v>
      </c>
      <c r="F180" s="45">
        <f t="shared" si="10"/>
        <v>100103973</v>
      </c>
      <c r="G180" s="7"/>
      <c r="H180" s="7"/>
    </row>
    <row r="181" spans="1:8" ht="23.25" customHeight="1">
      <c r="A181" s="59"/>
      <c r="B181" s="59"/>
      <c r="C181" s="48" t="s">
        <v>6</v>
      </c>
      <c r="D181" s="72">
        <v>97103973</v>
      </c>
      <c r="E181" s="58">
        <f>3000000</f>
        <v>3000000</v>
      </c>
      <c r="F181" s="58">
        <f t="shared" ref="F181" si="11">D181+E181</f>
        <v>100103973</v>
      </c>
      <c r="G181" s="7" t="s">
        <v>168</v>
      </c>
      <c r="H181" s="7"/>
    </row>
    <row r="182" spans="1:8" ht="57.75" customHeight="1">
      <c r="A182" s="89">
        <v>4700000</v>
      </c>
      <c r="B182" s="51"/>
      <c r="C182" s="51" t="s">
        <v>14</v>
      </c>
      <c r="D182" s="30">
        <f>D183</f>
        <v>68917366</v>
      </c>
      <c r="E182" s="30">
        <f>E183</f>
        <v>32959700</v>
      </c>
      <c r="F182" s="30">
        <f t="shared" ref="F182:F192" si="12">D182+E182</f>
        <v>101877066</v>
      </c>
      <c r="G182" s="7"/>
      <c r="H182" s="7"/>
    </row>
    <row r="183" spans="1:8" ht="57.75" customHeight="1">
      <c r="A183" s="89">
        <v>4710000</v>
      </c>
      <c r="B183" s="51"/>
      <c r="C183" s="51" t="s">
        <v>14</v>
      </c>
      <c r="D183" s="30">
        <v>68917366</v>
      </c>
      <c r="E183" s="30">
        <f>E185+E187+E189</f>
        <v>32959700</v>
      </c>
      <c r="F183" s="30">
        <f t="shared" si="12"/>
        <v>101877066</v>
      </c>
      <c r="G183" s="7"/>
      <c r="H183" s="7"/>
    </row>
    <row r="184" spans="1:8" ht="24.75" customHeight="1">
      <c r="A184" s="94"/>
      <c r="B184" s="71"/>
      <c r="C184" s="71" t="s">
        <v>6</v>
      </c>
      <c r="D184" s="46">
        <v>57392466</v>
      </c>
      <c r="E184" s="46">
        <f>E186</f>
        <v>10360700</v>
      </c>
      <c r="F184" s="46">
        <f t="shared" si="12"/>
        <v>67753166</v>
      </c>
      <c r="G184" s="7"/>
      <c r="H184" s="7"/>
    </row>
    <row r="185" spans="1:8" ht="33.75" customHeight="1">
      <c r="A185" s="70">
        <v>4716310</v>
      </c>
      <c r="B185" s="70">
        <v>6310</v>
      </c>
      <c r="C185" s="50" t="s">
        <v>169</v>
      </c>
      <c r="D185" s="47">
        <v>57392466</v>
      </c>
      <c r="E185" s="45">
        <f>E186</f>
        <v>10360700</v>
      </c>
      <c r="F185" s="45">
        <f t="shared" ref="F185:F186" si="13">D185+E185</f>
        <v>67753166</v>
      </c>
      <c r="G185" s="7" t="s">
        <v>170</v>
      </c>
      <c r="H185" s="7"/>
    </row>
    <row r="186" spans="1:8" ht="24" customHeight="1">
      <c r="A186" s="59"/>
      <c r="B186" s="59"/>
      <c r="C186" s="48" t="s">
        <v>6</v>
      </c>
      <c r="D186" s="72">
        <v>57392466</v>
      </c>
      <c r="E186" s="58">
        <f>10330700-50000+80000</f>
        <v>10360700</v>
      </c>
      <c r="F186" s="58">
        <f t="shared" si="13"/>
        <v>67753166</v>
      </c>
      <c r="G186" s="7"/>
      <c r="H186" s="7"/>
    </row>
    <row r="187" spans="1:8" ht="36.75" customHeight="1">
      <c r="A187" s="70">
        <v>4719110</v>
      </c>
      <c r="B187" s="70">
        <v>9110</v>
      </c>
      <c r="C187" s="50" t="s">
        <v>74</v>
      </c>
      <c r="D187" s="47">
        <v>11508900</v>
      </c>
      <c r="E187" s="45">
        <f>E188</f>
        <v>1046100</v>
      </c>
      <c r="F187" s="45">
        <f t="shared" si="12"/>
        <v>12555000</v>
      </c>
      <c r="G187" s="7" t="s">
        <v>133</v>
      </c>
      <c r="H187" s="7"/>
    </row>
    <row r="188" spans="1:8" ht="18.75" customHeight="1">
      <c r="A188" s="59"/>
      <c r="B188" s="59"/>
      <c r="C188" s="48" t="s">
        <v>35</v>
      </c>
      <c r="D188" s="72">
        <v>11508900</v>
      </c>
      <c r="E188" s="58">
        <f>1046100</f>
        <v>1046100</v>
      </c>
      <c r="F188" s="58">
        <f t="shared" si="12"/>
        <v>12555000</v>
      </c>
      <c r="G188" s="7"/>
      <c r="H188" s="7"/>
    </row>
    <row r="189" spans="1:8" ht="39.75" customHeight="1">
      <c r="A189" s="70">
        <v>4719130</v>
      </c>
      <c r="B189" s="70">
        <v>9130</v>
      </c>
      <c r="C189" s="50" t="s">
        <v>89</v>
      </c>
      <c r="D189" s="47">
        <v>0</v>
      </c>
      <c r="E189" s="45">
        <f>E190</f>
        <v>21552900</v>
      </c>
      <c r="F189" s="45">
        <f t="shared" si="12"/>
        <v>21552900</v>
      </c>
      <c r="G189" s="7" t="s">
        <v>133</v>
      </c>
      <c r="H189" s="7"/>
    </row>
    <row r="190" spans="1:8" ht="23.25" customHeight="1">
      <c r="A190" s="59"/>
      <c r="B190" s="59"/>
      <c r="C190" s="48" t="s">
        <v>35</v>
      </c>
      <c r="D190" s="72">
        <v>0</v>
      </c>
      <c r="E190" s="58">
        <f>21552900</f>
        <v>21552900</v>
      </c>
      <c r="F190" s="58">
        <f t="shared" si="12"/>
        <v>21552900</v>
      </c>
      <c r="G190" s="7"/>
      <c r="H190" s="7"/>
    </row>
    <row r="191" spans="1:8" ht="56.25" customHeight="1">
      <c r="A191" s="93">
        <v>4800000</v>
      </c>
      <c r="B191" s="27"/>
      <c r="C191" s="51" t="s">
        <v>34</v>
      </c>
      <c r="D191" s="30">
        <v>7944000</v>
      </c>
      <c r="E191" s="30">
        <f>E192</f>
        <v>8927623</v>
      </c>
      <c r="F191" s="30">
        <f t="shared" si="12"/>
        <v>16871623</v>
      </c>
      <c r="G191" s="7"/>
      <c r="H191" s="7"/>
    </row>
    <row r="192" spans="1:8" ht="56.25" customHeight="1">
      <c r="A192" s="93">
        <v>4810000</v>
      </c>
      <c r="B192" s="51"/>
      <c r="C192" s="51" t="s">
        <v>34</v>
      </c>
      <c r="D192" s="30">
        <v>7944000</v>
      </c>
      <c r="E192" s="30">
        <f>E193+E195+E197</f>
        <v>8927623</v>
      </c>
      <c r="F192" s="30">
        <f t="shared" si="12"/>
        <v>16871623</v>
      </c>
      <c r="G192" s="7"/>
      <c r="H192" s="7"/>
    </row>
    <row r="193" spans="1:8" ht="24.75" customHeight="1">
      <c r="A193" s="70">
        <v>4817310</v>
      </c>
      <c r="B193" s="70">
        <v>7310</v>
      </c>
      <c r="C193" s="50" t="s">
        <v>50</v>
      </c>
      <c r="D193" s="47">
        <v>40000</v>
      </c>
      <c r="E193" s="45">
        <f>E194</f>
        <v>7238823</v>
      </c>
      <c r="F193" s="45">
        <f t="shared" ref="F193:F216" si="14">D193+E193</f>
        <v>7278823</v>
      </c>
      <c r="G193" s="7" t="s">
        <v>131</v>
      </c>
      <c r="H193" s="2"/>
    </row>
    <row r="194" spans="1:8" ht="24.75" customHeight="1">
      <c r="A194" s="59"/>
      <c r="B194" s="59"/>
      <c r="C194" s="48" t="s">
        <v>49</v>
      </c>
      <c r="D194" s="72">
        <v>0</v>
      </c>
      <c r="E194" s="58">
        <f>7238823</f>
        <v>7238823</v>
      </c>
      <c r="F194" s="58">
        <f t="shared" si="14"/>
        <v>7238823</v>
      </c>
      <c r="G194" s="7"/>
      <c r="H194" s="2"/>
    </row>
    <row r="195" spans="1:8" ht="37.5" customHeight="1">
      <c r="A195" s="70" t="s">
        <v>90</v>
      </c>
      <c r="B195" s="70">
        <v>9110</v>
      </c>
      <c r="C195" s="50" t="s">
        <v>74</v>
      </c>
      <c r="D195" s="47">
        <v>0</v>
      </c>
      <c r="E195" s="45">
        <f>E196</f>
        <v>93800</v>
      </c>
      <c r="F195" s="45">
        <f t="shared" si="14"/>
        <v>93800</v>
      </c>
      <c r="G195" s="7" t="s">
        <v>133</v>
      </c>
      <c r="H195" s="2"/>
    </row>
    <row r="196" spans="1:8" ht="24.75" customHeight="1">
      <c r="A196" s="59"/>
      <c r="B196" s="59"/>
      <c r="C196" s="48" t="s">
        <v>49</v>
      </c>
      <c r="D196" s="72">
        <v>0</v>
      </c>
      <c r="E196" s="58">
        <f>93800</f>
        <v>93800</v>
      </c>
      <c r="F196" s="58">
        <f t="shared" si="14"/>
        <v>93800</v>
      </c>
      <c r="G196" s="7"/>
      <c r="H196" s="2"/>
    </row>
    <row r="197" spans="1:8" ht="68.25" customHeight="1">
      <c r="A197" s="70">
        <v>4819180</v>
      </c>
      <c r="B197" s="70">
        <v>9180</v>
      </c>
      <c r="C197" s="50" t="s">
        <v>164</v>
      </c>
      <c r="D197" s="47">
        <v>1624000</v>
      </c>
      <c r="E197" s="45">
        <f>SUM(E198:E199)</f>
        <v>1595000</v>
      </c>
      <c r="F197" s="45">
        <f t="shared" ref="F197:F199" si="15">D197+E197</f>
        <v>3219000</v>
      </c>
      <c r="G197" s="7" t="s">
        <v>166</v>
      </c>
      <c r="H197" s="2"/>
    </row>
    <row r="198" spans="1:8" ht="23.25" customHeight="1">
      <c r="A198" s="91"/>
      <c r="B198" s="76"/>
      <c r="C198" s="48" t="s">
        <v>49</v>
      </c>
      <c r="D198" s="72">
        <v>548000</v>
      </c>
      <c r="E198" s="58">
        <f>295000</f>
        <v>295000</v>
      </c>
      <c r="F198" s="58">
        <f t="shared" si="15"/>
        <v>843000</v>
      </c>
      <c r="G198" s="7"/>
      <c r="H198" s="2"/>
    </row>
    <row r="199" spans="1:8" ht="24.75" customHeight="1">
      <c r="A199" s="105"/>
      <c r="B199" s="106"/>
      <c r="C199" s="100" t="s">
        <v>165</v>
      </c>
      <c r="D199" s="72">
        <v>1076000</v>
      </c>
      <c r="E199" s="58">
        <f>1300000</f>
        <v>1300000</v>
      </c>
      <c r="F199" s="58">
        <f t="shared" si="15"/>
        <v>2376000</v>
      </c>
      <c r="G199" s="7"/>
      <c r="H199" s="2"/>
    </row>
    <row r="200" spans="1:8" ht="42" customHeight="1">
      <c r="A200" s="93">
        <v>6500000</v>
      </c>
      <c r="B200" s="27"/>
      <c r="C200" s="51" t="s">
        <v>91</v>
      </c>
      <c r="D200" s="30">
        <f>D201</f>
        <v>0</v>
      </c>
      <c r="E200" s="30">
        <f>E201</f>
        <v>3580900</v>
      </c>
      <c r="F200" s="30">
        <f t="shared" si="14"/>
        <v>3580900</v>
      </c>
      <c r="G200" s="7"/>
      <c r="H200" s="2"/>
    </row>
    <row r="201" spans="1:8" ht="42" customHeight="1">
      <c r="A201" s="93">
        <v>6510000</v>
      </c>
      <c r="B201" s="51"/>
      <c r="C201" s="51" t="s">
        <v>91</v>
      </c>
      <c r="D201" s="30">
        <v>0</v>
      </c>
      <c r="E201" s="30">
        <f>E203</f>
        <v>3580900</v>
      </c>
      <c r="F201" s="30">
        <f t="shared" si="14"/>
        <v>3580900</v>
      </c>
      <c r="G201" s="7"/>
      <c r="H201" s="2"/>
    </row>
    <row r="202" spans="1:8" ht="19.5" customHeight="1">
      <c r="A202" s="94"/>
      <c r="B202" s="71"/>
      <c r="C202" s="71" t="s">
        <v>6</v>
      </c>
      <c r="D202" s="46">
        <v>0</v>
      </c>
      <c r="E202" s="46">
        <f>E204</f>
        <v>3580900</v>
      </c>
      <c r="F202" s="46">
        <f t="shared" si="14"/>
        <v>3580900</v>
      </c>
      <c r="G202" s="7"/>
      <c r="H202" s="2"/>
    </row>
    <row r="203" spans="1:8" ht="35.25" customHeight="1">
      <c r="A203" s="70">
        <v>6516700</v>
      </c>
      <c r="B203" s="70">
        <v>6700</v>
      </c>
      <c r="C203" s="50" t="s">
        <v>130</v>
      </c>
      <c r="D203" s="45">
        <v>0</v>
      </c>
      <c r="E203" s="45">
        <f>E204</f>
        <v>3580900</v>
      </c>
      <c r="F203" s="45">
        <f t="shared" si="14"/>
        <v>3580900</v>
      </c>
      <c r="G203" s="7">
        <v>3480900</v>
      </c>
      <c r="H203" s="2" t="s">
        <v>167</v>
      </c>
    </row>
    <row r="204" spans="1:8" ht="19.5" customHeight="1">
      <c r="A204" s="59"/>
      <c r="B204" s="59"/>
      <c r="C204" s="48" t="s">
        <v>6</v>
      </c>
      <c r="D204" s="72">
        <v>0</v>
      </c>
      <c r="E204" s="58">
        <f>100000+3480900</f>
        <v>3580900</v>
      </c>
      <c r="F204" s="58">
        <f t="shared" ref="F204:F210" si="16">D204+E204</f>
        <v>3580900</v>
      </c>
      <c r="G204" s="7" t="s">
        <v>170</v>
      </c>
      <c r="H204" s="2">
        <v>100000</v>
      </c>
    </row>
    <row r="205" spans="1:8" ht="38.25" customHeight="1">
      <c r="A205" s="93">
        <v>7600000</v>
      </c>
      <c r="B205" s="27"/>
      <c r="C205" s="51" t="s">
        <v>153</v>
      </c>
      <c r="D205" s="30">
        <f>D206</f>
        <v>11000000</v>
      </c>
      <c r="E205" s="30">
        <f>E206</f>
        <v>-5094193</v>
      </c>
      <c r="F205" s="30">
        <f t="shared" si="16"/>
        <v>5905807</v>
      </c>
      <c r="G205" s="7"/>
      <c r="H205" s="2"/>
    </row>
    <row r="206" spans="1:8" ht="45" customHeight="1">
      <c r="A206" s="93">
        <v>7610000</v>
      </c>
      <c r="B206" s="51"/>
      <c r="C206" s="51" t="s">
        <v>153</v>
      </c>
      <c r="D206" s="30">
        <v>11000000</v>
      </c>
      <c r="E206" s="30">
        <f>E208</f>
        <v>-5094193</v>
      </c>
      <c r="F206" s="30">
        <f t="shared" si="16"/>
        <v>5905807</v>
      </c>
      <c r="G206" s="7"/>
      <c r="H206" s="2"/>
    </row>
    <row r="207" spans="1:8" ht="25.5" customHeight="1">
      <c r="A207" s="94"/>
      <c r="B207" s="71"/>
      <c r="C207" s="71" t="s">
        <v>6</v>
      </c>
      <c r="D207" s="46">
        <v>11000000</v>
      </c>
      <c r="E207" s="46">
        <f>E209</f>
        <v>-5094193</v>
      </c>
      <c r="F207" s="46">
        <f t="shared" si="16"/>
        <v>5905807</v>
      </c>
      <c r="G207" s="7"/>
      <c r="H207" s="2"/>
    </row>
    <row r="208" spans="1:8" ht="29.25" customHeight="1">
      <c r="A208" s="70">
        <v>7618600</v>
      </c>
      <c r="B208" s="70">
        <v>8600</v>
      </c>
      <c r="C208" s="50" t="s">
        <v>15</v>
      </c>
      <c r="D208" s="45">
        <v>11000000</v>
      </c>
      <c r="E208" s="45">
        <f>E209</f>
        <v>-5094193</v>
      </c>
      <c r="F208" s="45">
        <f t="shared" si="16"/>
        <v>5905807</v>
      </c>
      <c r="G208" s="7"/>
      <c r="H208" s="2"/>
    </row>
    <row r="209" spans="1:12" ht="23.25" customHeight="1" thickBot="1">
      <c r="A209" s="59"/>
      <c r="B209" s="59"/>
      <c r="C209" s="48" t="s">
        <v>6</v>
      </c>
      <c r="D209" s="72">
        <v>11000000</v>
      </c>
      <c r="E209" s="58">
        <f>-5094193</f>
        <v>-5094193</v>
      </c>
      <c r="F209" s="58">
        <f t="shared" si="16"/>
        <v>5905807</v>
      </c>
      <c r="G209" s="7"/>
      <c r="H209" s="2"/>
      <c r="I209" s="88"/>
    </row>
    <row r="210" spans="1:12" ht="58.5" customHeight="1" thickBot="1">
      <c r="A210" s="11"/>
      <c r="B210" s="11"/>
      <c r="C210" s="37" t="s">
        <v>98</v>
      </c>
      <c r="D210" s="43">
        <f>D17+D112</f>
        <v>5456380489</v>
      </c>
      <c r="E210" s="43">
        <f>E17+E112</f>
        <v>206958254.48000002</v>
      </c>
      <c r="F210" s="43">
        <f t="shared" si="16"/>
        <v>5663338743.4799995</v>
      </c>
      <c r="G210" s="7"/>
      <c r="H210" s="2"/>
      <c r="I210" s="88"/>
    </row>
    <row r="211" spans="1:12" ht="51" customHeight="1" thickBot="1">
      <c r="A211" s="11"/>
      <c r="B211" s="65"/>
      <c r="C211" s="37" t="s">
        <v>11</v>
      </c>
      <c r="D211" s="26">
        <f>D212+D213</f>
        <v>-318127750</v>
      </c>
      <c r="E211" s="26">
        <f>E212+E213</f>
        <v>88605197.480000019</v>
      </c>
      <c r="F211" s="26">
        <f t="shared" si="14"/>
        <v>-229522552.51999998</v>
      </c>
      <c r="G211" s="7"/>
      <c r="H211" s="2" t="s">
        <v>112</v>
      </c>
      <c r="I211" s="95">
        <f>E195+E187+E189</f>
        <v>22692800</v>
      </c>
    </row>
    <row r="212" spans="1:12" ht="67.5" customHeight="1" thickBot="1">
      <c r="A212" s="61"/>
      <c r="B212" s="61"/>
      <c r="C212" s="62" t="s">
        <v>19</v>
      </c>
      <c r="D212" s="63">
        <v>0</v>
      </c>
      <c r="E212" s="63">
        <f>83470237.48+42454880+2200000+549366+5206+3790000+480000+500000+383000-700000+3500000+2714000+195000-1414000+10330700-50000+70000+500000+1500000+80000+70000</f>
        <v>150628389.48000002</v>
      </c>
      <c r="F212" s="63">
        <f t="shared" si="14"/>
        <v>150628389.48000002</v>
      </c>
      <c r="G212" s="7"/>
      <c r="H212" s="2" t="s">
        <v>113</v>
      </c>
      <c r="I212" s="95">
        <f>H117+G168+G203</f>
        <v>24150300</v>
      </c>
    </row>
    <row r="213" spans="1:12" ht="75.75" customHeight="1" thickBot="1">
      <c r="A213" s="22"/>
      <c r="B213" s="68"/>
      <c r="C213" s="40" t="s">
        <v>4</v>
      </c>
      <c r="D213" s="44">
        <f>-318127750</f>
        <v>-318127750</v>
      </c>
      <c r="E213" s="44">
        <f>-133800-9240-42354880-100000-300000-549366-5206-3790000-480000+700000-10330700+50000-70000-3000000-1500000-80000-70000</f>
        <v>-62023192</v>
      </c>
      <c r="F213" s="44">
        <f t="shared" si="14"/>
        <v>-380150942</v>
      </c>
      <c r="G213" s="7"/>
      <c r="H213" s="2" t="s">
        <v>111</v>
      </c>
      <c r="I213" s="95">
        <f>E138</f>
        <v>290942</v>
      </c>
    </row>
    <row r="214" spans="1:12" ht="48.75" customHeight="1" thickBot="1">
      <c r="A214" s="11"/>
      <c r="B214" s="65"/>
      <c r="C214" s="37" t="s">
        <v>12</v>
      </c>
      <c r="D214" s="26">
        <f>SUM(D215:D216)</f>
        <v>318127750</v>
      </c>
      <c r="E214" s="26">
        <f>SUM(E215:E216)</f>
        <v>118003057</v>
      </c>
      <c r="F214" s="26">
        <f t="shared" si="14"/>
        <v>436130807</v>
      </c>
      <c r="G214" s="7"/>
      <c r="H214" s="2" t="s">
        <v>132</v>
      </c>
      <c r="I214" s="95">
        <f>E193+E154</f>
        <v>7250823</v>
      </c>
    </row>
    <row r="215" spans="1:12" ht="72.75" customHeight="1" thickBot="1">
      <c r="A215" s="64"/>
      <c r="B215" s="64"/>
      <c r="C215" s="62" t="s">
        <v>20</v>
      </c>
      <c r="D215" s="63">
        <v>0</v>
      </c>
      <c r="E215" s="63">
        <f>290942+22692800+24150300+7250823+1595000</f>
        <v>55979865</v>
      </c>
      <c r="F215" s="63">
        <f t="shared" si="14"/>
        <v>55979865</v>
      </c>
      <c r="G215" s="7"/>
      <c r="H215" s="2" t="s">
        <v>114</v>
      </c>
      <c r="I215" s="95">
        <f>E19+G24+G70+G73++E78+E80+E85+G94+E104+E107</f>
        <v>91748237.480000004</v>
      </c>
      <c r="J215" t="s">
        <v>138</v>
      </c>
      <c r="K215" s="95">
        <f>H118+E119+E125+E140+E156+E174+E178+E185+H204</f>
        <v>58880152</v>
      </c>
    </row>
    <row r="216" spans="1:12" ht="77.25" customHeight="1" thickBot="1">
      <c r="A216" s="22"/>
      <c r="B216" s="68"/>
      <c r="C216" s="40" t="s">
        <v>5</v>
      </c>
      <c r="D216" s="44">
        <f>318127750</f>
        <v>318127750</v>
      </c>
      <c r="E216" s="44">
        <f>133800+9240+42354880+100000+300000+549366+5206+3790000+480000-700000+10330700-50000+70000+3000000+1500000+80000+70000</f>
        <v>62023192</v>
      </c>
      <c r="F216" s="44">
        <f t="shared" si="14"/>
        <v>380150942</v>
      </c>
      <c r="G216" s="7"/>
      <c r="H216" s="2" t="s">
        <v>166</v>
      </c>
      <c r="I216" s="99">
        <f>E197</f>
        <v>1595000</v>
      </c>
    </row>
    <row r="217" spans="1:12" ht="18.75" customHeight="1">
      <c r="A217" s="23"/>
      <c r="B217" s="23"/>
      <c r="C217" s="24"/>
      <c r="D217" s="7"/>
      <c r="E217" s="7"/>
      <c r="F217" s="7"/>
      <c r="G217" s="7"/>
      <c r="H217" s="2"/>
    </row>
    <row r="218" spans="1:12" ht="64.5" customHeight="1">
      <c r="A218" s="107" t="s">
        <v>159</v>
      </c>
      <c r="B218" s="107"/>
      <c r="C218" s="107"/>
      <c r="D218" s="10"/>
      <c r="E218" s="56" t="s">
        <v>160</v>
      </c>
      <c r="F218" s="12"/>
      <c r="G218" s="12"/>
      <c r="H218" s="2"/>
      <c r="J218" s="31"/>
      <c r="K218" s="31"/>
      <c r="L218" s="31"/>
    </row>
    <row r="219" spans="1:12" ht="23.25" customHeight="1">
      <c r="A219" s="15"/>
      <c r="B219" s="15"/>
      <c r="C219" s="13"/>
      <c r="D219" s="10"/>
      <c r="E219" s="14"/>
      <c r="F219" s="12"/>
      <c r="G219" s="12"/>
      <c r="H219" s="2"/>
      <c r="J219" s="31"/>
      <c r="K219" s="31"/>
      <c r="L219" s="31"/>
    </row>
    <row r="220" spans="1:12" ht="20.25">
      <c r="A220" s="10"/>
      <c r="B220" s="10"/>
      <c r="E220" s="10"/>
      <c r="F220" s="5"/>
      <c r="G220" s="5"/>
      <c r="H220" s="2"/>
      <c r="J220" s="31"/>
      <c r="K220" s="31"/>
      <c r="L220" s="31"/>
    </row>
    <row r="221" spans="1:12" ht="18.75">
      <c r="A221" s="8"/>
      <c r="B221" s="8"/>
      <c r="C221" s="9"/>
      <c r="D221" s="5"/>
      <c r="E221" s="5"/>
      <c r="F221" s="5"/>
      <c r="G221" s="5"/>
      <c r="H221" s="2"/>
    </row>
    <row r="222" spans="1:12" ht="18.75">
      <c r="A222" s="8"/>
      <c r="B222" s="8"/>
      <c r="C222" s="9"/>
      <c r="D222" s="5"/>
      <c r="E222" s="25"/>
      <c r="F222" s="5"/>
      <c r="G222" s="5"/>
      <c r="H222" s="2"/>
    </row>
    <row r="223" spans="1:12" ht="18.75">
      <c r="A223" s="8"/>
      <c r="B223" s="8"/>
      <c r="C223" s="9"/>
      <c r="D223" s="5"/>
      <c r="E223" s="5"/>
      <c r="F223" s="5"/>
      <c r="G223" s="5"/>
      <c r="H223" s="2"/>
      <c r="I223" s="33"/>
      <c r="J223" s="33"/>
      <c r="K223" s="33"/>
    </row>
    <row r="224" spans="1:12" ht="18.75">
      <c r="A224" s="8"/>
      <c r="B224" s="8"/>
      <c r="C224" s="9"/>
      <c r="D224" s="5"/>
      <c r="E224" s="5"/>
      <c r="F224" s="5"/>
      <c r="G224" s="5"/>
      <c r="H224" s="2"/>
    </row>
    <row r="225" spans="1:8" ht="18.75">
      <c r="A225" s="8"/>
      <c r="B225" s="8"/>
      <c r="C225" s="9"/>
      <c r="D225" s="5"/>
      <c r="E225" s="5"/>
      <c r="F225" s="5"/>
      <c r="G225" s="5"/>
      <c r="H225" s="2"/>
    </row>
    <row r="226" spans="1:8" ht="18.75">
      <c r="A226" s="8"/>
      <c r="B226" s="8"/>
      <c r="C226" s="9"/>
      <c r="D226" s="5"/>
      <c r="E226" s="5"/>
      <c r="F226" s="5"/>
      <c r="G226" s="5"/>
      <c r="H226" s="2"/>
    </row>
    <row r="227" spans="1:8" ht="18.75">
      <c r="A227" s="8"/>
      <c r="B227" s="8"/>
      <c r="C227" s="9"/>
      <c r="D227" s="5"/>
      <c r="E227" s="5"/>
      <c r="F227" s="5"/>
      <c r="G227" s="5"/>
      <c r="H227" s="2"/>
    </row>
    <row r="228" spans="1:8" ht="18.75">
      <c r="A228" s="8"/>
      <c r="B228" s="8"/>
      <c r="C228" s="9"/>
      <c r="D228" s="5"/>
      <c r="E228" s="5"/>
      <c r="F228" s="5"/>
      <c r="G228" s="5"/>
      <c r="H228" s="2"/>
    </row>
    <row r="229" spans="1:8" ht="18.75">
      <c r="A229" s="8"/>
      <c r="B229" s="8"/>
      <c r="C229" s="9"/>
      <c r="D229" s="5"/>
      <c r="E229" s="5"/>
      <c r="F229" s="5"/>
      <c r="G229" s="5"/>
      <c r="H229" s="2"/>
    </row>
    <row r="230" spans="1:8" ht="18.75">
      <c r="A230" s="8"/>
      <c r="B230" s="8"/>
      <c r="C230" s="9"/>
      <c r="D230" s="5"/>
      <c r="E230" s="5"/>
      <c r="F230" s="5"/>
      <c r="G230" s="5"/>
      <c r="H230" s="2"/>
    </row>
    <row r="231" spans="1:8" ht="18.75">
      <c r="A231" s="8"/>
      <c r="B231" s="8"/>
      <c r="C231" s="9"/>
      <c r="D231" s="5"/>
      <c r="E231" s="5"/>
      <c r="F231" s="5"/>
      <c r="G231" s="5"/>
      <c r="H231" s="2"/>
    </row>
    <row r="232" spans="1:8">
      <c r="A232" s="3"/>
      <c r="B232" s="3"/>
      <c r="C232" s="2"/>
      <c r="H232" s="2"/>
    </row>
    <row r="233" spans="1:8">
      <c r="A233" s="3"/>
      <c r="B233" s="3"/>
      <c r="C233" s="2"/>
      <c r="H233" s="2"/>
    </row>
    <row r="234" spans="1:8">
      <c r="A234" s="3"/>
      <c r="B234" s="3"/>
      <c r="C234" s="2"/>
      <c r="H234" s="2"/>
    </row>
    <row r="235" spans="1:8">
      <c r="A235" s="3"/>
      <c r="B235" s="3"/>
      <c r="C235" s="2"/>
      <c r="H235" s="2"/>
    </row>
    <row r="236" spans="1:8">
      <c r="A236" s="3"/>
      <c r="B236" s="3"/>
      <c r="C236" s="2"/>
      <c r="H236" s="2"/>
    </row>
    <row r="237" spans="1:8">
      <c r="A237" s="3"/>
      <c r="B237" s="3"/>
      <c r="C237" s="2"/>
      <c r="H237" s="2"/>
    </row>
    <row r="238" spans="1:8">
      <c r="A238" s="3"/>
      <c r="B238" s="3"/>
      <c r="C238" s="2"/>
      <c r="H238" s="2"/>
    </row>
    <row r="239" spans="1:8">
      <c r="A239" s="3"/>
      <c r="B239" s="3"/>
      <c r="C239" s="2"/>
      <c r="H239" s="2"/>
    </row>
    <row r="240" spans="1:8">
      <c r="A240" s="3"/>
      <c r="B240" s="3"/>
      <c r="C240" s="2"/>
      <c r="H240" s="2"/>
    </row>
    <row r="241" spans="1:8">
      <c r="A241" s="3"/>
      <c r="B241" s="3"/>
      <c r="C241" s="2"/>
      <c r="H241" s="2"/>
    </row>
    <row r="242" spans="1:8">
      <c r="A242" s="3"/>
      <c r="B242" s="3"/>
      <c r="C242" s="2"/>
      <c r="H242" s="2"/>
    </row>
    <row r="243" spans="1:8">
      <c r="A243" s="3"/>
      <c r="B243" s="3"/>
      <c r="C243" s="2"/>
      <c r="H243" s="2"/>
    </row>
    <row r="244" spans="1:8">
      <c r="A244" s="3"/>
      <c r="B244" s="3"/>
      <c r="C244" s="2"/>
      <c r="H244" s="2"/>
    </row>
    <row r="245" spans="1:8">
      <c r="A245" s="3"/>
      <c r="B245" s="3"/>
      <c r="C245" s="2"/>
      <c r="H245" s="2"/>
    </row>
    <row r="246" spans="1:8">
      <c r="A246" s="3"/>
      <c r="B246" s="3"/>
      <c r="C246" s="2"/>
      <c r="H246" s="2"/>
    </row>
    <row r="247" spans="1:8">
      <c r="A247" s="3"/>
      <c r="B247" s="3"/>
      <c r="C247" s="2"/>
      <c r="H247" s="2"/>
    </row>
    <row r="248" spans="1:8">
      <c r="A248" s="3"/>
      <c r="B248" s="3"/>
      <c r="C248" s="2"/>
      <c r="H248" s="2"/>
    </row>
    <row r="249" spans="1:8">
      <c r="A249" s="3"/>
      <c r="B249" s="3"/>
      <c r="C249" s="2"/>
      <c r="H249" s="2"/>
    </row>
    <row r="250" spans="1:8">
      <c r="A250" s="3"/>
      <c r="B250" s="3"/>
      <c r="C250" s="2"/>
      <c r="H250" s="2"/>
    </row>
    <row r="251" spans="1:8">
      <c r="A251" s="3"/>
      <c r="B251" s="3"/>
      <c r="C251" s="2"/>
      <c r="H251" s="2"/>
    </row>
    <row r="252" spans="1:8">
      <c r="A252" s="3"/>
      <c r="B252" s="3"/>
      <c r="C252" s="2"/>
      <c r="H252" s="2"/>
    </row>
    <row r="253" spans="1:8">
      <c r="A253" s="3"/>
      <c r="B253" s="3"/>
      <c r="C253" s="2"/>
      <c r="H253" s="2"/>
    </row>
    <row r="254" spans="1:8">
      <c r="A254" s="3"/>
      <c r="B254" s="3"/>
      <c r="C254" s="2"/>
      <c r="H254" s="2"/>
    </row>
    <row r="255" spans="1:8">
      <c r="A255" s="3"/>
      <c r="B255" s="3"/>
      <c r="C255" s="2"/>
      <c r="H255" s="2"/>
    </row>
    <row r="256" spans="1:8">
      <c r="A256" s="3"/>
      <c r="B256" s="3"/>
      <c r="C256" s="2"/>
      <c r="H256" s="2"/>
    </row>
    <row r="257" spans="1:8">
      <c r="A257" s="3"/>
      <c r="B257" s="3"/>
      <c r="C257" s="2"/>
      <c r="H257" s="2"/>
    </row>
    <row r="258" spans="1:8">
      <c r="A258" s="3"/>
      <c r="B258" s="3"/>
      <c r="C258" s="2"/>
      <c r="H258" s="2"/>
    </row>
    <row r="259" spans="1:8">
      <c r="A259" s="3"/>
      <c r="B259" s="3"/>
      <c r="C259" s="2"/>
      <c r="H259" s="2"/>
    </row>
    <row r="260" spans="1:8">
      <c r="A260" s="3"/>
      <c r="B260" s="3"/>
      <c r="C260" s="2"/>
      <c r="H260" s="2"/>
    </row>
    <row r="261" spans="1:8">
      <c r="A261" s="3"/>
      <c r="B261" s="3"/>
      <c r="C261" s="2"/>
      <c r="H261" s="2"/>
    </row>
    <row r="262" spans="1:8">
      <c r="A262" s="3"/>
      <c r="B262" s="3"/>
      <c r="C262" s="2"/>
    </row>
    <row r="263" spans="1:8">
      <c r="A263" s="3"/>
      <c r="B263" s="3"/>
      <c r="C263" s="2"/>
    </row>
    <row r="264" spans="1:8">
      <c r="A264" s="3"/>
      <c r="B264" s="3"/>
      <c r="C264" s="2"/>
    </row>
    <row r="265" spans="1:8">
      <c r="A265" s="3"/>
      <c r="B265" s="3"/>
      <c r="C265" s="2"/>
    </row>
    <row r="266" spans="1:8">
      <c r="A266" s="3"/>
      <c r="B266" s="3"/>
      <c r="C266" s="2"/>
    </row>
    <row r="267" spans="1:8">
      <c r="A267" s="3"/>
      <c r="B267" s="3"/>
      <c r="C267" s="2"/>
    </row>
    <row r="268" spans="1:8">
      <c r="A268" s="3"/>
      <c r="B268" s="3"/>
      <c r="C268" s="2"/>
    </row>
    <row r="269" spans="1:8">
      <c r="A269" s="3"/>
      <c r="B269" s="3"/>
      <c r="C269" s="2"/>
    </row>
    <row r="270" spans="1:8">
      <c r="A270" s="3"/>
      <c r="B270" s="3"/>
      <c r="C270" s="2"/>
    </row>
    <row r="271" spans="1:8">
      <c r="A271" s="3"/>
      <c r="B271" s="3"/>
      <c r="C271" s="2"/>
    </row>
    <row r="272" spans="1:8">
      <c r="A272" s="3"/>
      <c r="B272" s="3"/>
      <c r="C272" s="2"/>
    </row>
    <row r="273" spans="1:3">
      <c r="A273" s="3"/>
      <c r="B273" s="3"/>
      <c r="C273" s="2"/>
    </row>
    <row r="274" spans="1:3">
      <c r="A274" s="3"/>
      <c r="B274" s="3"/>
      <c r="C274" s="2"/>
    </row>
    <row r="275" spans="1:3">
      <c r="A275" s="3"/>
      <c r="B275" s="3"/>
      <c r="C275" s="2"/>
    </row>
    <row r="276" spans="1:3">
      <c r="A276" s="3"/>
      <c r="B276" s="3"/>
      <c r="C276" s="2"/>
    </row>
    <row r="277" spans="1:3">
      <c r="A277" s="3"/>
      <c r="B277" s="3"/>
      <c r="C277" s="2"/>
    </row>
    <row r="278" spans="1:3">
      <c r="A278" s="3"/>
      <c r="B278" s="3"/>
      <c r="C278" s="2"/>
    </row>
    <row r="279" spans="1:3">
      <c r="A279" s="3"/>
      <c r="B279" s="3"/>
      <c r="C279" s="2"/>
    </row>
    <row r="280" spans="1:3">
      <c r="A280" s="3"/>
      <c r="B280" s="3"/>
      <c r="C280" s="2"/>
    </row>
    <row r="281" spans="1:3">
      <c r="A281" s="3"/>
      <c r="B281" s="3"/>
      <c r="C281" s="2"/>
    </row>
    <row r="282" spans="1:3">
      <c r="A282" s="3"/>
      <c r="B282" s="3"/>
      <c r="C282" s="2"/>
    </row>
    <row r="283" spans="1:3">
      <c r="A283" s="3"/>
      <c r="B283" s="3"/>
      <c r="C283" s="2"/>
    </row>
    <row r="284" spans="1:3">
      <c r="A284" s="3"/>
      <c r="B284" s="3"/>
      <c r="C284" s="2"/>
    </row>
    <row r="285" spans="1:3">
      <c r="A285" s="3"/>
      <c r="B285" s="3"/>
      <c r="C285" s="2"/>
    </row>
    <row r="286" spans="1:3">
      <c r="A286" s="3"/>
      <c r="B286" s="3"/>
      <c r="C286" s="2"/>
    </row>
    <row r="287" spans="1:3">
      <c r="A287" s="3"/>
      <c r="B287" s="3"/>
      <c r="C287" s="2"/>
    </row>
    <row r="288" spans="1:3">
      <c r="A288" s="3"/>
      <c r="B288" s="3"/>
      <c r="C288" s="2"/>
    </row>
    <row r="289" spans="1:3">
      <c r="A289" s="3"/>
      <c r="B289" s="3"/>
      <c r="C289" s="2"/>
    </row>
    <row r="290" spans="1:3">
      <c r="A290" s="3"/>
      <c r="B290" s="3"/>
      <c r="C290" s="2"/>
    </row>
    <row r="291" spans="1:3">
      <c r="A291" s="3"/>
      <c r="B291" s="3"/>
      <c r="C291" s="2"/>
    </row>
    <row r="292" spans="1:3">
      <c r="A292" s="3"/>
      <c r="B292" s="3"/>
      <c r="C292" s="2"/>
    </row>
    <row r="293" spans="1:3">
      <c r="A293" s="3"/>
      <c r="B293" s="3"/>
      <c r="C293" s="2"/>
    </row>
    <row r="294" spans="1:3">
      <c r="A294" s="3"/>
      <c r="B294" s="3"/>
      <c r="C294" s="2"/>
    </row>
    <row r="295" spans="1:3">
      <c r="A295" s="3"/>
      <c r="B295" s="3"/>
      <c r="C295" s="2"/>
    </row>
    <row r="296" spans="1:3">
      <c r="A296" s="3"/>
      <c r="B296" s="3"/>
    </row>
    <row r="297" spans="1:3">
      <c r="A297" s="3"/>
      <c r="B297" s="3"/>
    </row>
    <row r="298" spans="1:3">
      <c r="A298" s="3"/>
      <c r="B298" s="3"/>
    </row>
    <row r="299" spans="1:3">
      <c r="A299" s="3"/>
      <c r="B299" s="3"/>
    </row>
    <row r="300" spans="1:3">
      <c r="A300" s="3"/>
      <c r="B300" s="3"/>
    </row>
    <row r="301" spans="1:3">
      <c r="A301" s="3"/>
      <c r="B301" s="3"/>
    </row>
    <row r="302" spans="1:3">
      <c r="A302" s="3"/>
      <c r="B302" s="3"/>
    </row>
    <row r="303" spans="1:3">
      <c r="A303" s="3"/>
      <c r="B303" s="3"/>
    </row>
    <row r="304" spans="1:3">
      <c r="A304" s="3"/>
      <c r="B304" s="3"/>
    </row>
    <row r="305" spans="1:2">
      <c r="A305" s="3"/>
      <c r="B305" s="3"/>
    </row>
    <row r="306" spans="1:2">
      <c r="A306" s="3"/>
      <c r="B306" s="3"/>
    </row>
    <row r="307" spans="1:2">
      <c r="A307" s="3"/>
      <c r="B307" s="3"/>
    </row>
    <row r="308" spans="1:2">
      <c r="A308" s="3"/>
      <c r="B308" s="3"/>
    </row>
    <row r="309" spans="1:2">
      <c r="A309" s="3"/>
      <c r="B309" s="3"/>
    </row>
    <row r="310" spans="1:2">
      <c r="A310" s="3"/>
      <c r="B310" s="3"/>
    </row>
    <row r="311" spans="1:2">
      <c r="A311" s="3"/>
      <c r="B311" s="3"/>
    </row>
    <row r="312" spans="1:2">
      <c r="A312" s="3"/>
      <c r="B312" s="3"/>
    </row>
    <row r="313" spans="1:2">
      <c r="A313" s="3"/>
      <c r="B313" s="3"/>
    </row>
    <row r="314" spans="1:2">
      <c r="A314" s="3"/>
      <c r="B314" s="3"/>
    </row>
    <row r="315" spans="1:2">
      <c r="A315" s="3"/>
      <c r="B315" s="3"/>
    </row>
    <row r="316" spans="1:2">
      <c r="A316" s="3"/>
      <c r="B316" s="3"/>
    </row>
    <row r="317" spans="1:2">
      <c r="A317" s="3"/>
      <c r="B317" s="3"/>
    </row>
    <row r="318" spans="1:2">
      <c r="A318" s="3"/>
      <c r="B318" s="3"/>
    </row>
    <row r="319" spans="1:2">
      <c r="A319" s="3"/>
      <c r="B319" s="3"/>
    </row>
    <row r="320" spans="1:2">
      <c r="A320" s="3"/>
      <c r="B320" s="3"/>
    </row>
    <row r="321" spans="1:2">
      <c r="A321" s="3"/>
      <c r="B321" s="3"/>
    </row>
    <row r="322" spans="1:2">
      <c r="A322" s="3"/>
      <c r="B322" s="3"/>
    </row>
    <row r="323" spans="1:2">
      <c r="A323" s="3"/>
      <c r="B323" s="3"/>
    </row>
    <row r="324" spans="1:2">
      <c r="A324" s="3"/>
      <c r="B324" s="3"/>
    </row>
    <row r="325" spans="1:2">
      <c r="A325" s="3"/>
      <c r="B325" s="3"/>
    </row>
    <row r="326" spans="1:2">
      <c r="A326" s="3"/>
      <c r="B326" s="3"/>
    </row>
    <row r="327" spans="1:2">
      <c r="A327" s="3"/>
      <c r="B327" s="3"/>
    </row>
    <row r="328" spans="1:2">
      <c r="A328" s="3"/>
      <c r="B328" s="3"/>
    </row>
    <row r="329" spans="1:2">
      <c r="A329" s="3"/>
      <c r="B329" s="3"/>
    </row>
    <row r="330" spans="1:2">
      <c r="A330" s="3"/>
      <c r="B330" s="3"/>
    </row>
    <row r="331" spans="1:2">
      <c r="A331" s="3"/>
      <c r="B331" s="3"/>
    </row>
    <row r="332" spans="1:2">
      <c r="A332" s="3"/>
      <c r="B332" s="3"/>
    </row>
  </sheetData>
  <mergeCells count="8">
    <mergeCell ref="A218:C218"/>
    <mergeCell ref="A4:F4"/>
    <mergeCell ref="C7:C8"/>
    <mergeCell ref="D7:D8"/>
    <mergeCell ref="E7:E8"/>
    <mergeCell ref="F7:F8"/>
    <mergeCell ref="A7:A8"/>
    <mergeCell ref="B7:B8"/>
  </mergeCells>
  <phoneticPr fontId="0" type="noConversion"/>
  <pageMargins left="0.62992125984251968" right="0.39370078740157483" top="0.78740157480314965" bottom="0.62992125984251968" header="0.51181102362204722" footer="0.27559055118110237"/>
  <pageSetup paperSize="9" scale="69" orientation="portrait" r:id="rId1"/>
  <headerFooter differentFirst="1" alignWithMargins="0">
    <oddHeader xml:space="preserve">&amp;C&amp;"Times New Roman,курсив"&amp;14&amp;P&amp;R&amp;"Times New Roman,курсив"&amp;16Продовження додатка  1      </oddHeader>
  </headerFooter>
  <rowBreaks count="1" manualBreakCount="1">
    <brk id="21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org301</cp:lastModifiedBy>
  <cp:lastPrinted>2017-02-22T07:08:54Z</cp:lastPrinted>
  <dcterms:created xsi:type="dcterms:W3CDTF">2005-04-08T06:14:05Z</dcterms:created>
  <dcterms:modified xsi:type="dcterms:W3CDTF">2017-02-24T07:22:12Z</dcterms:modified>
</cp:coreProperties>
</file>