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89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Лист1!$10:$10</definedName>
  </definedNames>
  <calcPr calcId="145621"/>
</workbook>
</file>

<file path=xl/calcChain.xml><?xml version="1.0" encoding="utf-8"?>
<calcChain xmlns="http://schemas.openxmlformats.org/spreadsheetml/2006/main">
  <c r="F107" i="1" l="1"/>
  <c r="F106" i="1"/>
  <c r="F103" i="1"/>
  <c r="F96" i="1"/>
  <c r="F95" i="1"/>
  <c r="F83" i="1"/>
  <c r="F101" i="1" l="1"/>
  <c r="F85" i="1"/>
  <c r="D18" i="1" l="1"/>
  <c r="D101" i="1" l="1"/>
  <c r="D100" i="1"/>
  <c r="D15" i="1"/>
  <c r="F137" i="1"/>
  <c r="F130" i="1"/>
  <c r="F129" i="1"/>
  <c r="F128" i="1"/>
  <c r="F127" i="1"/>
  <c r="F126" i="1"/>
  <c r="F124" i="1"/>
  <c r="F123" i="1"/>
  <c r="F122" i="1"/>
  <c r="F121" i="1"/>
  <c r="F118" i="1"/>
  <c r="F116" i="1"/>
  <c r="F114" i="1"/>
  <c r="F113" i="1"/>
  <c r="F112" i="1"/>
  <c r="F110" i="1"/>
  <c r="F109" i="1"/>
  <c r="F105" i="1"/>
  <c r="F104" i="1"/>
  <c r="F102" i="1"/>
  <c r="F100" i="1"/>
  <c r="F99" i="1"/>
  <c r="F98" i="1"/>
  <c r="F97" i="1"/>
  <c r="F93" i="1"/>
  <c r="F84" i="1"/>
  <c r="F81" i="1"/>
  <c r="F78" i="1"/>
  <c r="F77" i="1"/>
  <c r="F76" i="1"/>
  <c r="F75" i="1"/>
  <c r="F74" i="1"/>
  <c r="F73" i="1"/>
  <c r="F72" i="1"/>
  <c r="F71" i="1"/>
  <c r="F70" i="1"/>
  <c r="F63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4" i="1"/>
  <c r="E135" i="1"/>
  <c r="F131" i="1"/>
  <c r="F125" i="1" s="1"/>
  <c r="E127" i="1"/>
  <c r="E124" i="1"/>
  <c r="E123" i="1"/>
  <c r="E121" i="1"/>
  <c r="E118" i="1"/>
  <c r="E117" i="1"/>
  <c r="E116" i="1"/>
  <c r="E113" i="1"/>
  <c r="E112" i="1"/>
  <c r="E110" i="1"/>
  <c r="E109" i="1"/>
  <c r="E99" i="1"/>
  <c r="E98" i="1"/>
  <c r="E97" i="1"/>
  <c r="E93" i="1"/>
  <c r="E78" i="1"/>
  <c r="E77" i="1"/>
  <c r="E75" i="1"/>
  <c r="E74" i="1"/>
  <c r="E73" i="1"/>
  <c r="E71" i="1"/>
  <c r="E70" i="1"/>
  <c r="E69" i="1"/>
  <c r="E68" i="1"/>
  <c r="E61" i="1"/>
  <c r="E60" i="1"/>
  <c r="E59" i="1"/>
  <c r="E58" i="1"/>
  <c r="E57" i="1"/>
  <c r="E56" i="1"/>
  <c r="E53" i="1"/>
  <c r="E52" i="1"/>
  <c r="E51" i="1"/>
  <c r="E50" i="1"/>
  <c r="E49" i="1"/>
  <c r="E47" i="1"/>
  <c r="E46" i="1"/>
  <c r="E45" i="1"/>
  <c r="E44" i="1"/>
  <c r="E40" i="1"/>
  <c r="E39" i="1"/>
  <c r="E37" i="1"/>
  <c r="E34" i="1"/>
  <c r="E33" i="1"/>
  <c r="E31" i="1"/>
  <c r="E28" i="1"/>
  <c r="E27" i="1"/>
  <c r="E26" i="1"/>
  <c r="E25" i="1"/>
  <c r="E24" i="1"/>
  <c r="E23" i="1"/>
  <c r="E22" i="1"/>
  <c r="E17" i="1"/>
  <c r="E16" i="1"/>
  <c r="D137" i="1"/>
  <c r="D135" i="1"/>
  <c r="D124" i="1"/>
  <c r="D123" i="1"/>
  <c r="D122" i="1"/>
  <c r="D121" i="1"/>
  <c r="D119" i="1"/>
  <c r="D118" i="1"/>
  <c r="D117" i="1"/>
  <c r="D116" i="1"/>
  <c r="D113" i="1"/>
  <c r="D112" i="1"/>
  <c r="D110" i="1"/>
  <c r="D109" i="1"/>
  <c r="D102" i="1"/>
  <c r="D98" i="1"/>
  <c r="D97" i="1"/>
  <c r="D96" i="1"/>
  <c r="D94" i="1"/>
  <c r="D93" i="1"/>
  <c r="D92" i="1"/>
  <c r="D91" i="1"/>
  <c r="D90" i="1"/>
  <c r="D89" i="1"/>
  <c r="D88" i="1"/>
  <c r="D87" i="1"/>
  <c r="D85" i="1"/>
  <c r="D84" i="1"/>
  <c r="D81" i="1"/>
  <c r="D80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7" i="1"/>
  <c r="D56" i="1"/>
  <c r="D55" i="1"/>
  <c r="D54" i="1"/>
  <c r="D53" i="1"/>
  <c r="D52" i="1"/>
  <c r="D51" i="1"/>
  <c r="D50" i="1"/>
  <c r="D49" i="1"/>
  <c r="D48" i="1"/>
  <c r="D47" i="1"/>
  <c r="D44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17" i="1"/>
  <c r="F15" i="1"/>
  <c r="E14" i="1"/>
  <c r="D14" i="1"/>
  <c r="F13" i="1"/>
  <c r="E13" i="1"/>
  <c r="D13" i="1"/>
  <c r="E136" i="1"/>
  <c r="F136" i="1"/>
  <c r="D136" i="1"/>
  <c r="E125" i="1"/>
  <c r="D125" i="1"/>
  <c r="B125" i="1" l="1"/>
  <c r="C14" i="1"/>
  <c r="B13" i="1"/>
  <c r="C136" i="1" l="1"/>
  <c r="C137" i="1"/>
  <c r="B136" i="1"/>
  <c r="B137" i="1"/>
  <c r="E134" i="1" l="1"/>
  <c r="D134" i="1"/>
  <c r="C135" i="1"/>
  <c r="F135" i="1" s="1"/>
  <c r="E132" i="1"/>
  <c r="F132" i="1"/>
  <c r="D132" i="1"/>
  <c r="C125" i="1"/>
  <c r="C126" i="1"/>
  <c r="C127" i="1"/>
  <c r="C128" i="1"/>
  <c r="C129" i="1"/>
  <c r="C130" i="1"/>
  <c r="C131" i="1"/>
  <c r="C132" i="1"/>
  <c r="C133" i="1"/>
  <c r="B126" i="1"/>
  <c r="B127" i="1"/>
  <c r="B128" i="1"/>
  <c r="B129" i="1"/>
  <c r="B130" i="1"/>
  <c r="B131" i="1"/>
  <c r="B132" i="1"/>
  <c r="B133" i="1"/>
  <c r="C134" i="1" l="1"/>
  <c r="E120" i="1"/>
  <c r="F120" i="1"/>
  <c r="D120" i="1"/>
  <c r="C120" i="1" s="1"/>
  <c r="C121" i="1"/>
  <c r="C122" i="1"/>
  <c r="C123" i="1"/>
  <c r="C124" i="1"/>
  <c r="B121" i="1"/>
  <c r="B122" i="1"/>
  <c r="B123" i="1"/>
  <c r="B124" i="1"/>
  <c r="E115" i="1"/>
  <c r="F115" i="1"/>
  <c r="D115" i="1"/>
  <c r="C116" i="1"/>
  <c r="C117" i="1"/>
  <c r="C118" i="1"/>
  <c r="C119" i="1"/>
  <c r="B116" i="1"/>
  <c r="B117" i="1"/>
  <c r="B118" i="1"/>
  <c r="B119" i="1"/>
  <c r="E111" i="1"/>
  <c r="F111" i="1"/>
  <c r="D111" i="1"/>
  <c r="B112" i="1"/>
  <c r="B113" i="1"/>
  <c r="B114" i="1"/>
  <c r="C112" i="1"/>
  <c r="C113" i="1"/>
  <c r="C114" i="1"/>
  <c r="F108" i="1"/>
  <c r="E108" i="1"/>
  <c r="D108" i="1"/>
  <c r="C109" i="1"/>
  <c r="C110" i="1"/>
  <c r="B109" i="1"/>
  <c r="B110" i="1"/>
  <c r="E79" i="1"/>
  <c r="F79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B92" i="1"/>
  <c r="B91" i="1"/>
  <c r="C91" i="1"/>
  <c r="B90" i="1"/>
  <c r="C90" i="1"/>
  <c r="B89" i="1"/>
  <c r="C89" i="1"/>
  <c r="B88" i="1"/>
  <c r="C88" i="1"/>
  <c r="B87" i="1"/>
  <c r="C87" i="1"/>
  <c r="B86" i="1"/>
  <c r="C86" i="1"/>
  <c r="B85" i="1"/>
  <c r="C85" i="1"/>
  <c r="B84" i="1"/>
  <c r="C84" i="1"/>
  <c r="B83" i="1"/>
  <c r="C83" i="1"/>
  <c r="B82" i="1"/>
  <c r="C82" i="1"/>
  <c r="B81" i="1"/>
  <c r="C81" i="1"/>
  <c r="B80" i="1"/>
  <c r="C80" i="1"/>
  <c r="B111" i="1" l="1"/>
  <c r="C115" i="1"/>
  <c r="B120" i="1"/>
  <c r="B115" i="1"/>
  <c r="B79" i="1"/>
  <c r="D79" i="1"/>
  <c r="B108" i="1"/>
  <c r="C92" i="1"/>
  <c r="C111" i="1"/>
  <c r="C108" i="1"/>
  <c r="E12" i="1"/>
  <c r="E11" i="1" s="1"/>
  <c r="F12" i="1"/>
  <c r="C70" i="1"/>
  <c r="C68" i="1"/>
  <c r="C69" i="1"/>
  <c r="B68" i="1"/>
  <c r="B69" i="1"/>
  <c r="C67" i="1"/>
  <c r="B67" i="1"/>
  <c r="C66" i="1"/>
  <c r="B66" i="1"/>
  <c r="B65" i="1"/>
  <c r="C64" i="1"/>
  <c r="B64" i="1"/>
  <c r="C62" i="1"/>
  <c r="B62" i="1"/>
  <c r="C79" i="1" l="1"/>
  <c r="C65" i="1"/>
  <c r="B17" i="1"/>
  <c r="B15" i="1"/>
  <c r="B16" i="1"/>
  <c r="B14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3" i="1"/>
  <c r="B71" i="1"/>
  <c r="B72" i="1"/>
  <c r="B73" i="1"/>
  <c r="B74" i="1"/>
  <c r="B75" i="1"/>
  <c r="B76" i="1"/>
  <c r="B77" i="1"/>
  <c r="B78" i="1"/>
  <c r="D12" i="1" l="1"/>
  <c r="C78" i="1"/>
  <c r="C77" i="1"/>
  <c r="C76" i="1"/>
  <c r="C75" i="1"/>
  <c r="C74" i="1"/>
  <c r="C73" i="1"/>
  <c r="C72" i="1"/>
  <c r="C71" i="1"/>
  <c r="C63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/>
  <c r="B70" i="1"/>
  <c r="B12" i="1" s="1"/>
  <c r="B135" i="1"/>
  <c r="F134" i="1"/>
  <c r="B134" i="1" l="1"/>
  <c r="F11" i="1"/>
  <c r="C12" i="1"/>
  <c r="D11" i="1"/>
  <c r="C11" i="1" l="1"/>
  <c r="B11" i="1"/>
</calcChain>
</file>

<file path=xl/sharedStrings.xml><?xml version="1.0" encoding="utf-8"?>
<sst xmlns="http://schemas.openxmlformats.org/spreadsheetml/2006/main" count="137" uniqueCount="134">
  <si>
    <t>Назва об’єкта</t>
  </si>
  <si>
    <t>усього</t>
  </si>
  <si>
    <t>касове виконання</t>
  </si>
  <si>
    <t>кредиторська заборгованість</t>
  </si>
  <si>
    <t>Управління капітального будівництва виконкому міської ради</t>
  </si>
  <si>
    <t xml:space="preserve">Блочна котельня та теплові мережі на вул. Тбіліській,   м.Кривий Ріг - будівництво </t>
  </si>
  <si>
    <t xml:space="preserve">Проспект Карла Маркса, м.Кривий Ріг - реконструкція </t>
  </si>
  <si>
    <t xml:space="preserve">Площа Визволення, м. Кривий Ріг - реконструкція </t>
  </si>
  <si>
    <t xml:space="preserve">Реконструкція мосту парку ім.Ю.Гагаріна в Центрально-Міському районі </t>
  </si>
  <si>
    <r>
      <t xml:space="preserve">Реконструкція приміщень житлового будинку по вул. Гутовського, 15 під амбулаторію №7 "Центру первинної медико-санітарної допомоги №4" Криворізької міської ради </t>
    </r>
    <r>
      <rPr>
        <sz val="7"/>
        <rFont val="Times New Roman"/>
        <family val="1"/>
        <charset val="204"/>
      </rPr>
      <t xml:space="preserve"> </t>
    </r>
  </si>
  <si>
    <t xml:space="preserve">Проведення модернізації системи опалення з упровадженням технології теплоакумуляційного обігріву та гарячого водопостачання приміщень Криворізького навчально-виховного комплексу "Загальноосвітня вальдорфська школа І-ІІІ ступенів - дитячий садок" (реконструкція) </t>
  </si>
  <si>
    <t>Проведення модернізації системи опалення  з упровадженням технології теплоакумуляційного обігріву та гарячого водопостачання амбулаторії № 3 комунальної установи "Центр первинної медико-санітарної допомоги №2" Криворізької міської ради (реконструкція)</t>
  </si>
  <si>
    <t>Проведення модернізації системи опалення з упровадженням технології теплоакумуляційного обігріву та гарячого водопостачання амбулаторії № 5 комунальної установи "Центр первинної медико-санітарної допомоги № 6" Криворізької міської ради (реконструкція)</t>
  </si>
  <si>
    <t>Газифікація селища Верабове</t>
  </si>
  <si>
    <t>Газифікація селища Веселий Кут</t>
  </si>
  <si>
    <r>
      <t xml:space="preserve">Реконструкція першого поверху будівлі Криворізької загальноосвітньої школи І-ІІ ступенів №18 для створення НВК   </t>
    </r>
    <r>
      <rPr>
        <i/>
        <sz val="7"/>
        <rFont val="Times New Roman"/>
        <family val="1"/>
        <charset val="204"/>
      </rPr>
      <t xml:space="preserve">    </t>
    </r>
  </si>
  <si>
    <r>
      <t>Санація будівлі Криворізької загальноосвітньої школи І-ІІІ ступенів №69 (реконструкція)</t>
    </r>
    <r>
      <rPr>
        <i/>
        <sz val="7"/>
        <rFont val="Times New Roman"/>
        <family val="1"/>
        <charset val="204"/>
      </rPr>
      <t xml:space="preserve">         </t>
    </r>
  </si>
  <si>
    <r>
      <t xml:space="preserve">Кладовище  в районі Північного  ГЗК </t>
    </r>
    <r>
      <rPr>
        <i/>
        <sz val="7"/>
        <rFont val="Times New Roman"/>
        <family val="1"/>
        <charset val="204"/>
      </rPr>
      <t xml:space="preserve">         </t>
    </r>
  </si>
  <si>
    <t>Будівництво інженерних мереж до універсального спортивного комплексу по вул. Волосевича, 1-а</t>
  </si>
  <si>
    <t xml:space="preserve">Реконструкція скверу монумента "Перемога"                                                                                                                                        </t>
  </si>
  <si>
    <r>
      <t>Реконструкція вулиці Димитрова</t>
    </r>
    <r>
      <rPr>
        <i/>
        <sz val="7"/>
        <rFont val="Times New Roman"/>
        <family val="1"/>
        <charset val="204"/>
      </rPr>
      <t xml:space="preserve">  </t>
    </r>
  </si>
  <si>
    <r>
      <t>Розширення кладовища  "Західне" (V черга)</t>
    </r>
    <r>
      <rPr>
        <i/>
        <sz val="7"/>
        <rFont val="Times New Roman"/>
        <family val="1"/>
        <charset val="204"/>
      </rPr>
      <t xml:space="preserve">    </t>
    </r>
  </si>
  <si>
    <t xml:space="preserve">Газифікація вулиць Літке, Лугова, Лафарга                                                                                                                                           </t>
  </si>
  <si>
    <t xml:space="preserve">Газифікація вулиці 23 Лютого                                                                                                                                    </t>
  </si>
  <si>
    <t xml:space="preserve">Газифікація вулиці Ямальської                                                                                                                                        </t>
  </si>
  <si>
    <t xml:space="preserve">Газифікація вулиць Цилінна та Центральна                                                                                                                                    </t>
  </si>
  <si>
    <t xml:space="preserve">Газифікація вулиці Юона                                                                                                                                                                  </t>
  </si>
  <si>
    <t>Реконструкція будівлі по вул. Туполєва під житловий будинок</t>
  </si>
  <si>
    <t>Реконструкція споруди пульмосаноаторію по вул. Глаголєва, 14 під дошкільний навчальний заклад</t>
  </si>
  <si>
    <t>Реконструкція дошкільного закладу №243, Жовтневий район</t>
  </si>
  <si>
    <t>Реконструкція будівлі під міський історико-краєзнавчий музей</t>
  </si>
  <si>
    <t>Реконструкція парку ім.Ю.Гагаріна</t>
  </si>
  <si>
    <t>Будівництво набережної річки Саксагань та благоустрій прилеглої території в Центрально-Міському районі</t>
  </si>
  <si>
    <t>Будівництво дороги від вул.Іллічівська до вул. Електроніки</t>
  </si>
  <si>
    <t xml:space="preserve">Реконструкція акумуляторної знижувальної підстанції та освітлення станції швидкісного трамвая "Будинок Рад"                                                                               </t>
  </si>
  <si>
    <t xml:space="preserve">Будівництво мереж зовнішнього освітлення                                                                                                   </t>
  </si>
  <si>
    <t>Трамвайні колії та благоустрій на вул. Косіора, м. Кривий Ріг - реконструкція</t>
  </si>
  <si>
    <t>Газифікація селища Терноватий Кут</t>
  </si>
  <si>
    <t>Інженерні мережі до універсального спортивного комплексу в парку культури і відпочинку ім. Б.Хмельницького (Дзержинський район), м. Кривий Ріг - будівництво</t>
  </si>
  <si>
    <t>Газифікація селища Незалежне і Травневе</t>
  </si>
  <si>
    <t>Мала сцена КП "Криворізький академічний міський театр драми та музичної комедії імені Тараса Шевченка", м. Кривий Ріг - реконструкція</t>
  </si>
  <si>
    <t>Приміщення під амбулаторію "Центру первинної медико-санітарної допомоги №5" в селищі Ілліча</t>
  </si>
  <si>
    <t>Автомобільний переїзд в селище Рахманове-реконструкція</t>
  </si>
  <si>
    <t>Спортивний кмплекс на вул.Волосевича,1а-будівництво</t>
  </si>
  <si>
    <r>
      <t>Санація будівлі Криворізької загальноосвітньої спеціалізованої  школи І-ІІІ ступенів №4 (реконструкція)</t>
    </r>
    <r>
      <rPr>
        <i/>
        <sz val="7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</t>
    </r>
  </si>
  <si>
    <r>
      <t>Реконструкція приміщень центральної трибуни стадіону "Металург"</t>
    </r>
    <r>
      <rPr>
        <i/>
        <sz val="7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     </t>
    </r>
  </si>
  <si>
    <r>
      <t>Реконструкція будівель під центр соціальної реабілітації дітей-інвалідів по вул. Вільна, 2а</t>
    </r>
    <r>
      <rPr>
        <i/>
        <sz val="7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         </t>
    </r>
  </si>
  <si>
    <r>
      <t xml:space="preserve">Реконструкція парку "Героїв"                                                                                                                                    </t>
    </r>
    <r>
      <rPr>
        <i/>
        <sz val="9"/>
        <rFont val="Times New Roman"/>
        <family val="1"/>
        <charset val="204"/>
      </rPr>
      <t xml:space="preserve"> </t>
    </r>
  </si>
  <si>
    <r>
      <t xml:space="preserve">Парк імені Богдана Хмельницького, м. Кривий Ріг </t>
    </r>
    <r>
      <rPr>
        <sz val="9"/>
        <rFont val="Symbol"/>
        <family val="1"/>
        <charset val="2"/>
      </rPr>
      <t>-</t>
    </r>
    <r>
      <rPr>
        <sz val="9"/>
        <rFont val="Times New Roman"/>
        <family val="1"/>
        <charset val="204"/>
      </rPr>
      <t xml:space="preserve"> реконструкція                                                                                                 </t>
    </r>
    <r>
      <rPr>
        <i/>
        <sz val="9"/>
        <rFont val="Times New Roman"/>
        <family val="1"/>
        <charset val="204"/>
      </rPr>
      <t xml:space="preserve"> </t>
    </r>
  </si>
  <si>
    <r>
      <t>Реконструкція трамвайних колій та благоустрій на вул. Димитрова-Рязанова</t>
    </r>
    <r>
      <rPr>
        <i/>
        <sz val="7"/>
        <rFont val="Times New Roman"/>
        <family val="1"/>
        <charset val="204"/>
      </rPr>
      <t xml:space="preserve">           </t>
    </r>
    <r>
      <rPr>
        <sz val="9"/>
        <rFont val="Times New Roman"/>
        <family val="1"/>
        <charset val="204"/>
      </rPr>
      <t xml:space="preserve">  </t>
    </r>
  </si>
  <si>
    <r>
      <t>Розширення кладовища  "Центральне" (ІІ черга)</t>
    </r>
    <r>
      <rPr>
        <i/>
        <sz val="7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</t>
    </r>
  </si>
  <si>
    <r>
      <rPr>
        <sz val="9"/>
        <rFont val="Times New Roman"/>
        <family val="1"/>
        <charset val="204"/>
      </rPr>
      <t>Реконструкція приміщень під амбулаторію №6 "Центру первинної медико-санітарної допомоги №4" Криворізької міської ради за адресою: б-р Кірова, 2а</t>
    </r>
    <r>
      <rPr>
        <i/>
        <sz val="8"/>
        <rFont val="Times New Roman"/>
        <family val="1"/>
        <charset val="204"/>
      </rPr>
      <t xml:space="preserve">    </t>
    </r>
  </si>
  <si>
    <t>Реконструкція трамвайних колій та благоустрій на проспекті Південному</t>
  </si>
  <si>
    <t>Будівництво інженерних мереж до сучасної спортивної споруди зі штучним льодом</t>
  </si>
  <si>
    <t xml:space="preserve">Реконструкція проспекту К.Маркса та об'єктів благоустрою </t>
  </si>
  <si>
    <t>Тягова підстанція №3 на проспекті Металургів</t>
  </si>
  <si>
    <t>Прибудова сантехнічного приміщення до КЗШ №101</t>
  </si>
  <si>
    <t xml:space="preserve">Ліквідація наслідків підтоплення  швидкісного трамвая, II черга </t>
  </si>
  <si>
    <t>Управління благоустрою та житлової політики виконкому міської ради</t>
  </si>
  <si>
    <t>Капітальний ремонт ІІ-ї черги  ділянки трамвайної колії від стрілочного переводу № 72 до кільця в районі ПАТ "Арселор Міталл Кривий Ріг"</t>
  </si>
  <si>
    <t>Придбання трамвайних вагонів типу Т 3 для комунального підприємства "Швидкісний трамвай"</t>
  </si>
  <si>
    <t>Придбання пластинчатих  водопідігрівачів для заміни фізично зношених на тепло-розподільчих пунктах комунального підприємства теплових мереж "Криворіжтепломережа"</t>
  </si>
  <si>
    <t>Придбання пожежних гідрантів для комунального підприємства "Кривбасводоканал"</t>
  </si>
  <si>
    <t xml:space="preserve">Поповнення статутного капіталу комунального закладу                "ДОТ "Корчагінець" на придбання предметів довгострокового користування   </t>
  </si>
  <si>
    <t>Поповнення статутного капіталу КП "Сансервіс" на будівництво притулку для тварин</t>
  </si>
  <si>
    <t>Поповнення статутного капіталу КП "Сансервіс" на проведення капітального ремонту 4-го поверху адміністративної споруди за адресою: вул. Женевська,1</t>
  </si>
  <si>
    <t xml:space="preserve">Реконструкція теплорозподільних пунктів котельні шахти "Гігант" комунального підприємства теплових мереж "Криворіж-тепломережа" </t>
  </si>
  <si>
    <t>Розробка проектно-кошторисної документації на реконструкцію привокзальної площі станції Кривий Ріг-Головний</t>
  </si>
  <si>
    <t>Реконструкція декоративного каскадного басейну на площі Радянській з благоустроєм прилеглої території (з розробкою проектно-кошторисної документації)</t>
  </si>
  <si>
    <t>Будівництво мереж зовнішнього освітлення окремих вулиць Дзержинського району (з розробкою проектно-технічної документації)</t>
  </si>
  <si>
    <t>Реконструкція об’єкта благоустрою, малої архітектурної форми - павільйону "Квітковий годинник"</t>
  </si>
  <si>
    <t>Придбання матеріалів та устаткування для заміни ділянки водопроводу по вул. Модрівській для комунального підприємства "Кривбасводоканал"</t>
  </si>
  <si>
    <t>Реконструкція комплексу "В'їзний знак "Кривий Ріг" на в'їзді у місто з боку м. Кіровоград з прокладанням мереж зовнішнього освітлення, встановленням трансформаторної підстанції,                                          м. Кривий Ріг" (з виготовленням проектно-кошторисної документації)</t>
  </si>
  <si>
    <t>Будівництво комплексу "В'їзний знак "Кривий Ріг" через об'їзну дорогу на в'їзді у місто з боку м.Запоріжжя зі спорудженням арочної конструкції та електричних мереж,  м. Кривий Ріг" (з виготовленням проектно-кошторисної документації)</t>
  </si>
  <si>
    <t>Поповнення статутного капіталу комунального підприємства "Парк культури та відпочинку імені Богдана Хмельницького" Криворізької міської ради</t>
  </si>
  <si>
    <t>Інші заходи, пов’язані з економічною діяльністю комунального підприємства "Парк культури та відпочинку імені Богдана Хмельницького" Криворізької міської ради</t>
  </si>
  <si>
    <t>Придбання зупиночних павільйонів для комунального підприємства "Міський тролейбус"</t>
  </si>
  <si>
    <t>Поповнення статутного капіталу комунального підприємтсва "Ритуал Сервіс Плюс" для придбання та встановлення тимчасових адміністративно-побутових будівель на кладовищах міста</t>
  </si>
  <si>
    <t>Розробка проектно-кошторисної документації на будівництво адміністративно-побутових будинків на території кладовищ міста</t>
  </si>
  <si>
    <t>Розробка проектно-кошторисної документації на реконструкцію акумуляторних установок на станціях КП "Швидкісний трамвай" "Проспект Металургів" та "Площа Артема" і проходження державної експертизи</t>
  </si>
  <si>
    <t>Інші заходи, пов’язані з економічною діяльністю комунального закладу "ДОТ "Корчагінець"</t>
  </si>
  <si>
    <t>Виконком  міської ради</t>
  </si>
  <si>
    <t>Капітальний ремонт будівель і приміщень виконкому міської ради</t>
  </si>
  <si>
    <t>Придбання обладнання і предметів довгострокового користування</t>
  </si>
  <si>
    <t>Управління охорони здоров’я виконкому міської ради</t>
  </si>
  <si>
    <t>Капітальний ремонт закладів охорони здоров’я</t>
  </si>
  <si>
    <t>Придбання об'єктів невиробничого призначення</t>
  </si>
  <si>
    <t>Управління освіти і науки виконкому міської ради</t>
  </si>
  <si>
    <t>Капітальний ремонт закладів освіти</t>
  </si>
  <si>
    <t>Поповнення бібліотечних фондів шкільних бібліотек</t>
  </si>
  <si>
    <t>Придбання лічильників для закладів освіти</t>
  </si>
  <si>
    <t>Управління культури і туризму виконкому міської ради</t>
  </si>
  <si>
    <t xml:space="preserve">Капітальний ремонт закладів культури </t>
  </si>
  <si>
    <t>Поповнення бібліотечного фонду</t>
  </si>
  <si>
    <t>Оновлення книжкового фонду</t>
  </si>
  <si>
    <t>Управління праці та соціального захисту населення виконкому міської ради</t>
  </si>
  <si>
    <t>Капітальний ремонт з установлення вентиляційної системи на харчоблоці комунальної установи "Будинок милосердя"</t>
  </si>
  <si>
    <t>Придбання мікроавтобуса для організації послуги "соціальне таксі" в комунальній установі "Будинок милосердя "Затишок"</t>
  </si>
  <si>
    <t>Капітальний ремонт з утеплення огороджувальних конструкцій будівлі комунальної установи "Будинок милосердя"</t>
  </si>
  <si>
    <t>Капітальний ремонт з утеплення огороджувальних конструкцій будівлі комунальної установи "Будинок милосердя "Затишок"</t>
  </si>
  <si>
    <t>Капітальний ремонт з установленням віконних та балконних блоків у комунальній установі "Будинок милосердя "Затишок"</t>
  </si>
  <si>
    <t>Капітальний ремонт з установленням віконних та балконних блоків у комунальній установі "Будинок милосердя"</t>
  </si>
  <si>
    <t>Відділ транспорту і зв’язку виконкому міської ради</t>
  </si>
  <si>
    <t xml:space="preserve">Поповнення статутного капіталу комунального підприємства "Автобаза №1" на проведення капітального ремонту будівель і споруд на вул.  Іллічівській, 63 </t>
  </si>
  <si>
    <t>Комітет у справах сім’ї і молоді виконкому міської ради</t>
  </si>
  <si>
    <t>Придбання комп’ютерної та копіювальної техніки Криворізькому міському центру соціальних служб для сім’ї, дітей та молоді</t>
  </si>
  <si>
    <t>Управління економіки виконкому міської ради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</si>
  <si>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</si>
  <si>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ПЕРЕЛІК</t>
  </si>
  <si>
    <t>РАЗОМ</t>
  </si>
  <si>
    <t>Фактичне виконання станом на 01.01.2014, тис. грн.</t>
  </si>
  <si>
    <t xml:space="preserve">об'єктів, видатки на які проведені за рахунок бюджетних коштів  </t>
  </si>
  <si>
    <t>Додаток 
до Звіту про виконання Програми соціально-економічного розвитку міста Кривого Рогу та роботу виконкому міської ради в 2013 році</t>
  </si>
  <si>
    <t>План на 2013 рік                     (з урахуванням змін),          тис. грн.</t>
  </si>
  <si>
    <t xml:space="preserve">Реконструкція проспекту К.Маркса та об'єктів благоустрою,                    І черга </t>
  </si>
  <si>
    <t xml:space="preserve">Самопливний каналізаційний колектор по вул. Модрівській,                                    ІІ черга </t>
  </si>
  <si>
    <t>Універсальний спортивний комплекс в парку культури і відпочинку ім. Б.Хмельницького (Дзержинський район),                                                      м. Кривий Ріг - будівництво</t>
  </si>
  <si>
    <t>Приміщення під амбулаторію №7 "Центру первинної медико-санітарної допомоги №3" за адресою: мкр. 7 Зарічний, 9а,                                                 м. Кривий Ріг - реконструкція</t>
  </si>
  <si>
    <t>Памятник воїнам-учасникам бойових дій у Афганістані в Жовтневому районі</t>
  </si>
  <si>
    <t>Реконструкція підвісного пішоходного мосту на                                                                   вул. Грабовського в парку культури і відпочинку ім. Газети "Правда" в м. Кривому Розі (з розробкою проектно-кошторисної документації та проходженням державної експертизи)</t>
  </si>
  <si>
    <t>Будівництво дошкільного навчального закладу по                                         вул. Широківській</t>
  </si>
  <si>
    <t xml:space="preserve">Реконструкція проспекту 200-річчя Кривого Рогу  та                                             вул. Тухачевського з улаштуванням розподілювальної смуги із застосуванням бетонного бар'єрного загородження по вісі проїжджої частини </t>
  </si>
  <si>
    <t>Поповнення статутного капіталу комунального підприємства теплових мереж "Криворіжтепломережа" на придбання обладнання довгострокового користування для котельні по                                                                     вул. Харитонова, 9</t>
  </si>
  <si>
    <t xml:space="preserve">Блочна котельня та теплові мережі на вул. Орджонікідзе,                                                                  м. Кривий Ріг - будівництво  </t>
  </si>
  <si>
    <t xml:space="preserve">Блочна котельня №1 та теплові мережі на вул. ХХІІ Партз'їзду,                                                       м. Кривий Ріг - будівництво                                                                                           </t>
  </si>
  <si>
    <t xml:space="preserve">Блочна котельня №2 та теплові мережі по вул. ХХІІ Партз'їзду,                                                             м. Кривий Ріг - будівництво                                                                                                          </t>
  </si>
  <si>
    <r>
      <t>Будівництво універсального спортивного комплексу по                                               вул. Волосевича, 1-а</t>
    </r>
    <r>
      <rPr>
        <i/>
        <sz val="7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      </t>
    </r>
    <r>
      <rPr>
        <i/>
        <sz val="7"/>
        <rFont val="Times New Roman"/>
        <family val="1"/>
        <charset val="204"/>
      </rPr>
      <t xml:space="preserve">    </t>
    </r>
  </si>
  <si>
    <t xml:space="preserve"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                                                                            мкр-н Сонячний, 25а </t>
  </si>
  <si>
    <t>Будівництво сантехнічного приміщення в комунальному позашкільному закладі дитячому оздоровчому таборі "Сонячний" в                                                                                                     с. Гурівка</t>
  </si>
  <si>
    <t>Розробка проектно-кошторисної документації, придбання матеріалів та запасних частин, виконання робіт  для об'єкта "Реконструкція контактної мережі тролейбуса, світлофорів, зовнішнього освітлення на перехресті  вул. Тимірязєва та вул. 23 Лютого, з облаштуванням розворотного кільця тролейбусів поблизу будівлі вокзалу "Роковата", в  м. Кривий Ріг" для комунального підприємства "Міський тролейбус"</t>
  </si>
  <si>
    <t xml:space="preserve">Розробка проектно-кошторисної документації на об'єкт "Реконструкція дороги на вул. Ньютона (від вул. Модрівської до                                         вул. Буковинської) в  м.Кривому Розі" </t>
  </si>
  <si>
    <t>Розробка проектно-кошторисної документації на об'єкт "Будівництво комплексу атракціонів в парку культури і відпочинку                                                                      ім. Б. Хмельницького (Дзержинський район), м.Кривий Ріг", проведення державної експертизи проекту</t>
  </si>
  <si>
    <t>Придбання віконних блоків для комунального закладу                      "ДОТ "Корчпгінець"</t>
  </si>
  <si>
    <t>Залишок асигнувань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</si>
</sst>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name val="Times New Roman"/>
      <family val="1"/>
    </font>
    <font>
      <sz val="9"/>
      <name val="Times New Roman"/>
      <family val="1"/>
      <charset val="204"/>
    </font>
    <font>
      <sz val="9"/>
      <name val="Symbol"/>
      <family val="1"/>
      <charset val="2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7"/>
      <color indexed="8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11" fontId="7" fillId="0" borderId="1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wrapText="1"/>
    </xf>
    <xf numFmtId="164" fontId="10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48.5703125" customWidth="1"/>
    <col min="2" max="2" width="25.42578125" customWidth="1"/>
    <col min="3" max="3" width="14" customWidth="1"/>
    <col min="4" max="4" width="15.85546875" customWidth="1"/>
    <col min="5" max="5" width="15.7109375" customWidth="1"/>
    <col min="6" max="6" width="22.7109375" customWidth="1"/>
    <col min="7" max="7" width="12.42578125" bestFit="1" customWidth="1"/>
    <col min="8" max="8" width="13.5703125" bestFit="1" customWidth="1"/>
  </cols>
  <sheetData>
    <row r="1" spans="1:8" ht="15" customHeight="1" x14ac:dyDescent="0.25">
      <c r="D1" s="18" t="s">
        <v>112</v>
      </c>
      <c r="E1" s="19"/>
      <c r="F1" s="19"/>
    </row>
    <row r="2" spans="1:8" x14ac:dyDescent="0.25">
      <c r="D2" s="19"/>
      <c r="E2" s="19"/>
      <c r="F2" s="19"/>
    </row>
    <row r="3" spans="1:8" ht="81.75" customHeight="1" x14ac:dyDescent="0.25">
      <c r="D3" s="19"/>
      <c r="E3" s="19"/>
      <c r="F3" s="19"/>
    </row>
    <row r="4" spans="1:8" x14ac:dyDescent="0.25">
      <c r="D4" s="10"/>
      <c r="E4" s="10"/>
      <c r="F4" s="10"/>
    </row>
    <row r="5" spans="1:8" ht="19.5" x14ac:dyDescent="0.35">
      <c r="A5" s="21" t="s">
        <v>108</v>
      </c>
      <c r="B5" s="21"/>
      <c r="C5" s="21"/>
      <c r="D5" s="21"/>
      <c r="E5" s="21"/>
      <c r="F5" s="21"/>
    </row>
    <row r="6" spans="1:8" ht="19.5" x14ac:dyDescent="0.35">
      <c r="A6" s="21" t="s">
        <v>111</v>
      </c>
      <c r="B6" s="21"/>
      <c r="C6" s="21"/>
      <c r="D6" s="21"/>
      <c r="E6" s="21"/>
      <c r="F6" s="21"/>
    </row>
    <row r="8" spans="1:8" ht="32.25" customHeight="1" x14ac:dyDescent="0.25">
      <c r="A8" s="20" t="s">
        <v>0</v>
      </c>
      <c r="B8" s="20" t="s">
        <v>113</v>
      </c>
      <c r="C8" s="22" t="s">
        <v>110</v>
      </c>
      <c r="D8" s="22"/>
      <c r="E8" s="22"/>
      <c r="F8" s="23" t="s">
        <v>133</v>
      </c>
    </row>
    <row r="9" spans="1:8" ht="40.5" customHeight="1" x14ac:dyDescent="0.25">
      <c r="A9" s="20"/>
      <c r="B9" s="20"/>
      <c r="C9" s="14" t="s">
        <v>1</v>
      </c>
      <c r="D9" s="15" t="s">
        <v>2</v>
      </c>
      <c r="E9" s="15" t="s">
        <v>3</v>
      </c>
      <c r="F9" s="23"/>
    </row>
    <row r="10" spans="1:8" ht="21" customHeight="1" x14ac:dyDescent="0.25">
      <c r="A10" s="16">
        <v>1</v>
      </c>
      <c r="B10" s="16">
        <v>2</v>
      </c>
      <c r="C10" s="14">
        <v>3</v>
      </c>
      <c r="D10" s="15">
        <v>4</v>
      </c>
      <c r="E10" s="15">
        <v>5</v>
      </c>
      <c r="F10" s="15">
        <v>6</v>
      </c>
    </row>
    <row r="11" spans="1:8" ht="30" customHeight="1" x14ac:dyDescent="0.25">
      <c r="A11" s="16" t="s">
        <v>109</v>
      </c>
      <c r="B11" s="17">
        <f>SUM(D11:F11)</f>
        <v>194092.15482000003</v>
      </c>
      <c r="C11" s="17">
        <f>D11+E11</f>
        <v>124036.20543</v>
      </c>
      <c r="D11" s="17">
        <f>D12+D79+D108+D111+D115+D120+D125++D132+D134+D136</f>
        <v>74826.545100000003</v>
      </c>
      <c r="E11" s="17">
        <f t="shared" ref="E11:F11" si="0">E12+E79+E108+E111+E115+E120+E125++E132+E134+E136</f>
        <v>49209.660329999999</v>
      </c>
      <c r="F11" s="17">
        <f t="shared" si="0"/>
        <v>70055.949390000023</v>
      </c>
    </row>
    <row r="12" spans="1:8" ht="31.5" x14ac:dyDescent="0.25">
      <c r="A12" s="1" t="s">
        <v>4</v>
      </c>
      <c r="B12" s="11">
        <f>SUM(B13:B78)</f>
        <v>123905.87630000003</v>
      </c>
      <c r="C12" s="11">
        <f>D12+E12</f>
        <v>78968.848870000002</v>
      </c>
      <c r="D12" s="11">
        <f>SUM(D13:D78)</f>
        <v>38709.833950000007</v>
      </c>
      <c r="E12" s="11">
        <f t="shared" ref="E12:F12" si="1">SUM(E13:E78)</f>
        <v>40259.014919999994</v>
      </c>
      <c r="F12" s="11">
        <f t="shared" si="1"/>
        <v>44937.027430000009</v>
      </c>
      <c r="H12" s="9"/>
    </row>
    <row r="13" spans="1:8" ht="24" x14ac:dyDescent="0.25">
      <c r="A13" s="3" t="s">
        <v>5</v>
      </c>
      <c r="B13" s="12">
        <f>D13+E13+F13</f>
        <v>3461.7472499999999</v>
      </c>
      <c r="C13" s="12">
        <f>D13+E13</f>
        <v>28.069110000000002</v>
      </c>
      <c r="D13" s="12">
        <f>(27840.47+30)/1000</f>
        <v>27.870470000000001</v>
      </c>
      <c r="E13" s="12">
        <f>198.64/1000</f>
        <v>0.19863999999999998</v>
      </c>
      <c r="F13" s="12">
        <f>3433678.14/1000</f>
        <v>3433.67814</v>
      </c>
      <c r="G13" s="9"/>
    </row>
    <row r="14" spans="1:8" x14ac:dyDescent="0.25">
      <c r="A14" s="4" t="s">
        <v>6</v>
      </c>
      <c r="B14" s="12">
        <f t="shared" ref="B14:B78" si="2">D14+E14+F14</f>
        <v>33000</v>
      </c>
      <c r="C14" s="12">
        <f>D14+E14</f>
        <v>21923.129419999997</v>
      </c>
      <c r="D14" s="13">
        <f>7453001.13/1000</f>
        <v>7453.0011299999996</v>
      </c>
      <c r="E14" s="13">
        <f>14470128.29/1000</f>
        <v>14470.128289999999</v>
      </c>
      <c r="F14" s="12">
        <f>11076870.58/1000</f>
        <v>11076.870580000001</v>
      </c>
    </row>
    <row r="15" spans="1:8" ht="24" x14ac:dyDescent="0.25">
      <c r="A15" s="4" t="s">
        <v>114</v>
      </c>
      <c r="B15" s="12">
        <f t="shared" si="2"/>
        <v>5880.3942000000006</v>
      </c>
      <c r="C15" s="12">
        <f t="shared" ref="C15:C78" si="3">D15+E15</f>
        <v>5862.5953000000009</v>
      </c>
      <c r="D15" s="13">
        <f>(1877901.1+3316334.2+668360)/1000</f>
        <v>5862.5953000000009</v>
      </c>
      <c r="E15" s="13">
        <v>0</v>
      </c>
      <c r="F15" s="12">
        <f>17798.8999999999/1000</f>
        <v>17.7988999999999</v>
      </c>
    </row>
    <row r="16" spans="1:8" x14ac:dyDescent="0.25">
      <c r="A16" s="4" t="s">
        <v>7</v>
      </c>
      <c r="B16" s="12">
        <f t="shared" si="2"/>
        <v>600</v>
      </c>
      <c r="C16" s="12">
        <f t="shared" si="3"/>
        <v>414.65309000000002</v>
      </c>
      <c r="D16" s="13">
        <v>0</v>
      </c>
      <c r="E16" s="13">
        <f>414653.09/1000</f>
        <v>414.65309000000002</v>
      </c>
      <c r="F16" s="12">
        <f>185346.91/1000</f>
        <v>185.34691000000001</v>
      </c>
    </row>
    <row r="17" spans="1:6" ht="24" x14ac:dyDescent="0.25">
      <c r="A17" s="3" t="s">
        <v>8</v>
      </c>
      <c r="B17" s="12">
        <f t="shared" si="2"/>
        <v>2184.0699999999997</v>
      </c>
      <c r="C17" s="12">
        <f t="shared" si="3"/>
        <v>1975.7166999999999</v>
      </c>
      <c r="D17" s="13">
        <f>(1601871.5+322580+35200-10)/1000</f>
        <v>1959.6415</v>
      </c>
      <c r="E17" s="13">
        <f>16075.2/1000</f>
        <v>16.075200000000002</v>
      </c>
      <c r="F17" s="12">
        <f>208353.3/1000</f>
        <v>208.35329999999999</v>
      </c>
    </row>
    <row r="18" spans="1:6" ht="36" x14ac:dyDescent="0.25">
      <c r="A18" s="4" t="s">
        <v>9</v>
      </c>
      <c r="B18" s="12">
        <f t="shared" si="2"/>
        <v>718.07665999999995</v>
      </c>
      <c r="C18" s="12">
        <f t="shared" si="3"/>
        <v>715.76040999999998</v>
      </c>
      <c r="D18" s="13">
        <f>(504683.75+5112+205964.66)/1000</f>
        <v>715.76040999999998</v>
      </c>
      <c r="E18" s="13">
        <v>0</v>
      </c>
      <c r="F18" s="12">
        <f>2316.25/1000</f>
        <v>2.3162500000000001</v>
      </c>
    </row>
    <row r="19" spans="1:6" ht="60" x14ac:dyDescent="0.25">
      <c r="A19" s="5" t="s">
        <v>10</v>
      </c>
      <c r="B19" s="12">
        <f t="shared" si="2"/>
        <v>100</v>
      </c>
      <c r="C19" s="12">
        <f t="shared" si="3"/>
        <v>0</v>
      </c>
      <c r="D19" s="13">
        <v>0</v>
      </c>
      <c r="E19" s="13">
        <v>0</v>
      </c>
      <c r="F19" s="12">
        <f>100000/1000</f>
        <v>100</v>
      </c>
    </row>
    <row r="20" spans="1:6" ht="60" x14ac:dyDescent="0.25">
      <c r="A20" s="4" t="s">
        <v>11</v>
      </c>
      <c r="B20" s="12">
        <f t="shared" si="2"/>
        <v>100</v>
      </c>
      <c r="C20" s="12">
        <f t="shared" si="3"/>
        <v>0</v>
      </c>
      <c r="D20" s="13">
        <v>0</v>
      </c>
      <c r="E20" s="13">
        <v>0</v>
      </c>
      <c r="F20" s="12">
        <f>100000/1000</f>
        <v>100</v>
      </c>
    </row>
    <row r="21" spans="1:6" ht="60" x14ac:dyDescent="0.25">
      <c r="A21" s="5" t="s">
        <v>12</v>
      </c>
      <c r="B21" s="12">
        <f t="shared" si="2"/>
        <v>100</v>
      </c>
      <c r="C21" s="12">
        <f t="shared" si="3"/>
        <v>0</v>
      </c>
      <c r="D21" s="13">
        <v>0</v>
      </c>
      <c r="E21" s="13">
        <v>0</v>
      </c>
      <c r="F21" s="12">
        <f>100000/1000</f>
        <v>100</v>
      </c>
    </row>
    <row r="22" spans="1:6" x14ac:dyDescent="0.25">
      <c r="A22" s="6" t="s">
        <v>13</v>
      </c>
      <c r="B22" s="12">
        <f t="shared" si="2"/>
        <v>3880</v>
      </c>
      <c r="C22" s="12">
        <f t="shared" si="3"/>
        <v>2168.8634499999998</v>
      </c>
      <c r="D22" s="13">
        <f>1537460.98/1000</f>
        <v>1537.4609800000001</v>
      </c>
      <c r="E22" s="13">
        <f>631402.47/1000</f>
        <v>631.40246999999999</v>
      </c>
      <c r="F22" s="12">
        <f>1711136.55/1000</f>
        <v>1711.1365499999999</v>
      </c>
    </row>
    <row r="23" spans="1:6" x14ac:dyDescent="0.25">
      <c r="A23" s="4" t="s">
        <v>14</v>
      </c>
      <c r="B23" s="12">
        <f t="shared" si="2"/>
        <v>2550</v>
      </c>
      <c r="C23" s="12">
        <f t="shared" si="3"/>
        <v>1123.67625</v>
      </c>
      <c r="D23" s="13">
        <f>745395.35/1000</f>
        <v>745.39535000000001</v>
      </c>
      <c r="E23" s="13">
        <f>378280.9/1000</f>
        <v>378.28090000000003</v>
      </c>
      <c r="F23" s="12">
        <f>1426323.75/1000</f>
        <v>1426.32375</v>
      </c>
    </row>
    <row r="24" spans="1:6" ht="24" x14ac:dyDescent="0.25">
      <c r="A24" s="4" t="s">
        <v>15</v>
      </c>
      <c r="B24" s="12">
        <f t="shared" si="2"/>
        <v>4611.8047999999999</v>
      </c>
      <c r="C24" s="12">
        <f t="shared" si="3"/>
        <v>4073.8521799999999</v>
      </c>
      <c r="D24" s="13">
        <f>(1381058.05+106264+105540.8)/1000</f>
        <v>1592.86285</v>
      </c>
      <c r="E24" s="13">
        <f>2480989.33/1000</f>
        <v>2480.9893299999999</v>
      </c>
      <c r="F24" s="12">
        <f>537952.62/1000</f>
        <v>537.95262000000002</v>
      </c>
    </row>
    <row r="25" spans="1:6" ht="24" x14ac:dyDescent="0.25">
      <c r="A25" s="4" t="s">
        <v>44</v>
      </c>
      <c r="B25" s="12">
        <f t="shared" si="2"/>
        <v>605.85156999999992</v>
      </c>
      <c r="C25" s="12">
        <f t="shared" si="3"/>
        <v>532.34835999999996</v>
      </c>
      <c r="D25" s="13">
        <f>205851.57/1000</f>
        <v>205.85157000000001</v>
      </c>
      <c r="E25" s="13">
        <f>326496.79/1000</f>
        <v>326.49678999999998</v>
      </c>
      <c r="F25" s="12">
        <f>73503.21/1000</f>
        <v>73.50321000000001</v>
      </c>
    </row>
    <row r="26" spans="1:6" ht="24" x14ac:dyDescent="0.25">
      <c r="A26" s="4" t="s">
        <v>16</v>
      </c>
      <c r="B26" s="12">
        <f t="shared" si="2"/>
        <v>537.74689999999998</v>
      </c>
      <c r="C26" s="12">
        <f t="shared" si="3"/>
        <v>396.20555000000002</v>
      </c>
      <c r="D26" s="13">
        <f>(2763+137746.9)/1000</f>
        <v>140.50989999999999</v>
      </c>
      <c r="E26" s="13">
        <f>255695.65/1000</f>
        <v>255.69565</v>
      </c>
      <c r="F26" s="12">
        <f>141541.35/1000</f>
        <v>141.54134999999999</v>
      </c>
    </row>
    <row r="27" spans="1:6" ht="24" x14ac:dyDescent="0.25">
      <c r="A27" s="4" t="s">
        <v>45</v>
      </c>
      <c r="B27" s="12">
        <f t="shared" si="2"/>
        <v>3124.3239800000001</v>
      </c>
      <c r="C27" s="12">
        <f t="shared" si="3"/>
        <v>2437.6179499999998</v>
      </c>
      <c r="D27" s="13">
        <f>(1580944.09+19323.98)/1000</f>
        <v>1600.2680700000001</v>
      </c>
      <c r="E27" s="13">
        <f>837349.88/1000</f>
        <v>837.34987999999998</v>
      </c>
      <c r="F27" s="12">
        <f>686706.03/1000</f>
        <v>686.70603000000006</v>
      </c>
    </row>
    <row r="28" spans="1:6" x14ac:dyDescent="0.25">
      <c r="A28" s="4" t="s">
        <v>17</v>
      </c>
      <c r="B28" s="12">
        <f t="shared" si="2"/>
        <v>535.09418000000005</v>
      </c>
      <c r="C28" s="12">
        <f t="shared" si="3"/>
        <v>92.820060000000012</v>
      </c>
      <c r="D28" s="13">
        <f>(36434.4+35094.18)/1000</f>
        <v>71.528580000000005</v>
      </c>
      <c r="E28" s="13">
        <f>21291.48/1000</f>
        <v>21.29148</v>
      </c>
      <c r="F28" s="12">
        <f>442274.12/1000</f>
        <v>442.27411999999998</v>
      </c>
    </row>
    <row r="29" spans="1:6" ht="24" x14ac:dyDescent="0.25">
      <c r="A29" s="4" t="s">
        <v>126</v>
      </c>
      <c r="B29" s="12">
        <f t="shared" si="2"/>
        <v>849.2432</v>
      </c>
      <c r="C29" s="12">
        <f t="shared" si="3"/>
        <v>849.21036000000004</v>
      </c>
      <c r="D29" s="13">
        <f>(95067.16+754143.2)/1000</f>
        <v>849.21036000000004</v>
      </c>
      <c r="E29" s="13">
        <v>0</v>
      </c>
      <c r="F29" s="12">
        <f>32.8399999999965/1000</f>
        <v>3.2839999999996497E-2</v>
      </c>
    </row>
    <row r="30" spans="1:6" ht="24" x14ac:dyDescent="0.25">
      <c r="A30" s="4" t="s">
        <v>18</v>
      </c>
      <c r="B30" s="12">
        <f t="shared" si="2"/>
        <v>161.80000000000001</v>
      </c>
      <c r="C30" s="12">
        <f t="shared" si="3"/>
        <v>161.70142000000001</v>
      </c>
      <c r="D30" s="13">
        <f>161701.42/1000</f>
        <v>161.70142000000001</v>
      </c>
      <c r="E30" s="13">
        <v>0</v>
      </c>
      <c r="F30" s="12">
        <f>98.5799999999872/1000</f>
        <v>9.8579999999987192E-2</v>
      </c>
    </row>
    <row r="31" spans="1:6" ht="24" x14ac:dyDescent="0.25">
      <c r="A31" s="4" t="s">
        <v>46</v>
      </c>
      <c r="B31" s="12">
        <f t="shared" si="2"/>
        <v>1299.0921800000001</v>
      </c>
      <c r="C31" s="12">
        <f t="shared" si="3"/>
        <v>635.07942000000003</v>
      </c>
      <c r="D31" s="13">
        <f>(177741.04+79092.18)/1000</f>
        <v>256.83321999999998</v>
      </c>
      <c r="E31" s="13">
        <f>378246.2/1000</f>
        <v>378.24619999999999</v>
      </c>
      <c r="F31" s="12">
        <f>664012.76/1000</f>
        <v>664.01275999999996</v>
      </c>
    </row>
    <row r="32" spans="1:6" x14ac:dyDescent="0.25">
      <c r="A32" s="7" t="s">
        <v>47</v>
      </c>
      <c r="B32" s="12">
        <f t="shared" si="2"/>
        <v>70</v>
      </c>
      <c r="C32" s="12">
        <f t="shared" si="3"/>
        <v>57.15072</v>
      </c>
      <c r="D32" s="13">
        <f>57150.72/1000</f>
        <v>57.15072</v>
      </c>
      <c r="E32" s="13">
        <v>0</v>
      </c>
      <c r="F32" s="12">
        <f>12849.28/1000</f>
        <v>12.84928</v>
      </c>
    </row>
    <row r="33" spans="1:6" ht="24" x14ac:dyDescent="0.25">
      <c r="A33" s="7" t="s">
        <v>48</v>
      </c>
      <c r="B33" s="12">
        <f t="shared" si="2"/>
        <v>500</v>
      </c>
      <c r="C33" s="12">
        <f t="shared" si="3"/>
        <v>396.94896999999997</v>
      </c>
      <c r="D33" s="13">
        <f>3274.46/1000</f>
        <v>3.2744599999999999</v>
      </c>
      <c r="E33" s="13">
        <f>393674.51/1000</f>
        <v>393.67451</v>
      </c>
      <c r="F33" s="12">
        <f>103051.03/1000</f>
        <v>103.05103</v>
      </c>
    </row>
    <row r="34" spans="1:6" x14ac:dyDescent="0.25">
      <c r="A34" s="7" t="s">
        <v>19</v>
      </c>
      <c r="B34" s="12">
        <f t="shared" si="2"/>
        <v>4334.5</v>
      </c>
      <c r="C34" s="12">
        <f t="shared" si="3"/>
        <v>3497.59301</v>
      </c>
      <c r="D34" s="13">
        <f>511016.08/1000</f>
        <v>511.01607999999999</v>
      </c>
      <c r="E34" s="13">
        <f>2986576.93/1000</f>
        <v>2986.5769300000002</v>
      </c>
      <c r="F34" s="12">
        <f>836906.99/1000</f>
        <v>836.90698999999995</v>
      </c>
    </row>
    <row r="35" spans="1:6" ht="24" x14ac:dyDescent="0.25">
      <c r="A35" s="7" t="s">
        <v>49</v>
      </c>
      <c r="B35" s="12">
        <f t="shared" si="2"/>
        <v>200.37927000000002</v>
      </c>
      <c r="C35" s="12">
        <f t="shared" si="3"/>
        <v>194.15907000000001</v>
      </c>
      <c r="D35" s="13">
        <f>(68779.8+125379.27)/1000</f>
        <v>194.15907000000001</v>
      </c>
      <c r="E35" s="13">
        <v>0</v>
      </c>
      <c r="F35" s="12">
        <f>6220.2/1000</f>
        <v>6.2202000000000002</v>
      </c>
    </row>
    <row r="36" spans="1:6" x14ac:dyDescent="0.25">
      <c r="A36" s="7" t="s">
        <v>20</v>
      </c>
      <c r="B36" s="12">
        <f t="shared" si="2"/>
        <v>70.419200000000004</v>
      </c>
      <c r="C36" s="12">
        <f t="shared" si="3"/>
        <v>52.9176</v>
      </c>
      <c r="D36" s="13">
        <f>(2498.4+50419.2)/1000</f>
        <v>52.9176</v>
      </c>
      <c r="E36" s="13">
        <v>0</v>
      </c>
      <c r="F36" s="12">
        <f>17501.6/1000</f>
        <v>17.5016</v>
      </c>
    </row>
    <row r="37" spans="1:6" x14ac:dyDescent="0.25">
      <c r="A37" s="7" t="s">
        <v>21</v>
      </c>
      <c r="B37" s="12">
        <f t="shared" si="2"/>
        <v>402.29559999999998</v>
      </c>
      <c r="C37" s="12">
        <f t="shared" si="3"/>
        <v>374.36620999999997</v>
      </c>
      <c r="D37" s="13">
        <f>(491.81+302295.6)/1000</f>
        <v>302.78740999999997</v>
      </c>
      <c r="E37" s="13">
        <f>71578.8/1000</f>
        <v>71.578800000000001</v>
      </c>
      <c r="F37" s="12">
        <f>27929.39/1000</f>
        <v>27.929389999999998</v>
      </c>
    </row>
    <row r="38" spans="1:6" x14ac:dyDescent="0.25">
      <c r="A38" s="7" t="s">
        <v>50</v>
      </c>
      <c r="B38" s="12">
        <f t="shared" si="2"/>
        <v>52.470800000000004</v>
      </c>
      <c r="C38" s="12">
        <f t="shared" si="3"/>
        <v>9.4546100000000006</v>
      </c>
      <c r="D38" s="13">
        <f>(6983.81+2470.8)/1000</f>
        <v>9.4546100000000006</v>
      </c>
      <c r="E38" s="13">
        <v>0</v>
      </c>
      <c r="F38" s="12">
        <f>43016.19/1000</f>
        <v>43.016190000000002</v>
      </c>
    </row>
    <row r="39" spans="1:6" x14ac:dyDescent="0.25">
      <c r="A39" s="7" t="s">
        <v>22</v>
      </c>
      <c r="B39" s="12">
        <f t="shared" si="2"/>
        <v>150</v>
      </c>
      <c r="C39" s="12">
        <f t="shared" si="3"/>
        <v>11.578799999999999</v>
      </c>
      <c r="D39" s="13">
        <v>0</v>
      </c>
      <c r="E39" s="13">
        <f>11578.8/1000</f>
        <v>11.578799999999999</v>
      </c>
      <c r="F39" s="12">
        <f>138421.2/1000</f>
        <v>138.4212</v>
      </c>
    </row>
    <row r="40" spans="1:6" x14ac:dyDescent="0.25">
      <c r="A40" s="8" t="s">
        <v>23</v>
      </c>
      <c r="B40" s="12">
        <f t="shared" si="2"/>
        <v>100</v>
      </c>
      <c r="C40" s="12">
        <f t="shared" si="3"/>
        <v>11.8032</v>
      </c>
      <c r="D40" s="13">
        <v>0</v>
      </c>
      <c r="E40" s="13">
        <f>11803.2/1000</f>
        <v>11.8032</v>
      </c>
      <c r="F40" s="12">
        <f>88196.8/1000</f>
        <v>88.196799999999996</v>
      </c>
    </row>
    <row r="41" spans="1:6" x14ac:dyDescent="0.25">
      <c r="A41" s="8" t="s">
        <v>24</v>
      </c>
      <c r="B41" s="12">
        <f t="shared" si="2"/>
        <v>100</v>
      </c>
      <c r="C41" s="12">
        <f t="shared" si="3"/>
        <v>0</v>
      </c>
      <c r="D41" s="13">
        <v>0</v>
      </c>
      <c r="E41" s="13">
        <v>0</v>
      </c>
      <c r="F41" s="12">
        <f>100000/1000</f>
        <v>100</v>
      </c>
    </row>
    <row r="42" spans="1:6" x14ac:dyDescent="0.25">
      <c r="A42" s="8" t="s">
        <v>25</v>
      </c>
      <c r="B42" s="12">
        <f t="shared" si="2"/>
        <v>100</v>
      </c>
      <c r="C42" s="12">
        <f t="shared" si="3"/>
        <v>0</v>
      </c>
      <c r="D42" s="13">
        <v>0</v>
      </c>
      <c r="E42" s="13">
        <v>0</v>
      </c>
      <c r="F42" s="12">
        <f>100000/1000</f>
        <v>100</v>
      </c>
    </row>
    <row r="43" spans="1:6" x14ac:dyDescent="0.25">
      <c r="A43" s="8" t="s">
        <v>26</v>
      </c>
      <c r="B43" s="12">
        <f t="shared" si="2"/>
        <v>100</v>
      </c>
      <c r="C43" s="12">
        <f t="shared" si="3"/>
        <v>0</v>
      </c>
      <c r="D43" s="13">
        <v>0</v>
      </c>
      <c r="E43" s="13">
        <v>0</v>
      </c>
      <c r="F43" s="12">
        <f>100000/1000</f>
        <v>100</v>
      </c>
    </row>
    <row r="44" spans="1:6" ht="24" x14ac:dyDescent="0.25">
      <c r="A44" s="8" t="s">
        <v>123</v>
      </c>
      <c r="B44" s="12">
        <f t="shared" si="2"/>
        <v>1540.7172499999999</v>
      </c>
      <c r="C44" s="12">
        <f t="shared" si="3"/>
        <v>28.039110000000001</v>
      </c>
      <c r="D44" s="13">
        <f>(27423.22+417.25)/1000</f>
        <v>27.84047</v>
      </c>
      <c r="E44" s="13">
        <f>198.64/1000</f>
        <v>0.19863999999999998</v>
      </c>
      <c r="F44" s="12">
        <f>1512678.14/1000</f>
        <v>1512.67814</v>
      </c>
    </row>
    <row r="45" spans="1:6" ht="24" x14ac:dyDescent="0.25">
      <c r="A45" s="7" t="s">
        <v>124</v>
      </c>
      <c r="B45" s="12">
        <f t="shared" si="2"/>
        <v>185</v>
      </c>
      <c r="C45" s="12">
        <f t="shared" si="3"/>
        <v>0.19863999999999998</v>
      </c>
      <c r="D45" s="13">
        <v>0</v>
      </c>
      <c r="E45" s="13">
        <f>198.64/1000</f>
        <v>0.19863999999999998</v>
      </c>
      <c r="F45" s="12">
        <f>184801.36/1000</f>
        <v>184.80135999999999</v>
      </c>
    </row>
    <row r="46" spans="1:6" ht="36" x14ac:dyDescent="0.25">
      <c r="A46" s="7" t="s">
        <v>125</v>
      </c>
      <c r="B46" s="12">
        <f t="shared" si="2"/>
        <v>190</v>
      </c>
      <c r="C46" s="12">
        <f t="shared" si="3"/>
        <v>0.19863999999999998</v>
      </c>
      <c r="D46" s="13">
        <v>0</v>
      </c>
      <c r="E46" s="13">
        <f>198.64/1000</f>
        <v>0.19863999999999998</v>
      </c>
      <c r="F46" s="12">
        <f>189801.36/1000</f>
        <v>189.80135999999999</v>
      </c>
    </row>
    <row r="47" spans="1:6" ht="36" x14ac:dyDescent="0.25">
      <c r="A47" s="2" t="s">
        <v>51</v>
      </c>
      <c r="B47" s="12">
        <f t="shared" si="2"/>
        <v>6273.8413600000003</v>
      </c>
      <c r="C47" s="12">
        <f t="shared" si="3"/>
        <v>4943.2195700000002</v>
      </c>
      <c r="D47" s="13">
        <f>(562404.59+61541.36)/1000</f>
        <v>623.94594999999993</v>
      </c>
      <c r="E47" s="13">
        <f>4319273.62/1000</f>
        <v>4319.2736199999999</v>
      </c>
      <c r="F47" s="12">
        <f>1330621.79/1000</f>
        <v>1330.6217900000001</v>
      </c>
    </row>
    <row r="48" spans="1:6" ht="60" x14ac:dyDescent="0.25">
      <c r="A48" s="5" t="s">
        <v>127</v>
      </c>
      <c r="B48" s="12">
        <f t="shared" si="2"/>
        <v>11720.090129999999</v>
      </c>
      <c r="C48" s="12">
        <f t="shared" si="3"/>
        <v>111.86158999999999</v>
      </c>
      <c r="D48" s="13">
        <f>(20868.46+91023.48-30.35)/1000</f>
        <v>111.86158999999999</v>
      </c>
      <c r="E48" s="13">
        <v>0</v>
      </c>
      <c r="F48" s="12">
        <f>11608228.54/1000</f>
        <v>11608.228539999998</v>
      </c>
    </row>
    <row r="49" spans="1:6" ht="48" x14ac:dyDescent="0.25">
      <c r="A49" s="7" t="s">
        <v>128</v>
      </c>
      <c r="B49" s="12">
        <f t="shared" si="2"/>
        <v>1693.2197800000004</v>
      </c>
      <c r="C49" s="12">
        <f t="shared" si="3"/>
        <v>1324.0974300000003</v>
      </c>
      <c r="D49" s="13">
        <f>(1010235.05+21949.78-30)/1000</f>
        <v>1032.1548300000002</v>
      </c>
      <c r="E49" s="13">
        <f>291942.6/1000</f>
        <v>291.94259999999997</v>
      </c>
      <c r="F49" s="12">
        <f>369122.35/1000</f>
        <v>369.12234999999998</v>
      </c>
    </row>
    <row r="50" spans="1:6" x14ac:dyDescent="0.25">
      <c r="A50" s="7" t="s">
        <v>27</v>
      </c>
      <c r="B50" s="12">
        <f t="shared" si="2"/>
        <v>75.963999999999999</v>
      </c>
      <c r="C50" s="12">
        <f t="shared" si="3"/>
        <v>41.585070000000002</v>
      </c>
      <c r="D50" s="13">
        <f>(18063+5964)/1000</f>
        <v>24.027000000000001</v>
      </c>
      <c r="E50" s="13">
        <f>17558.07/1000</f>
        <v>17.558070000000001</v>
      </c>
      <c r="F50" s="12">
        <f>34378.93/1000</f>
        <v>34.378929999999997</v>
      </c>
    </row>
    <row r="51" spans="1:6" ht="24" x14ac:dyDescent="0.25">
      <c r="A51" s="7" t="s">
        <v>28</v>
      </c>
      <c r="B51" s="12">
        <f t="shared" si="2"/>
        <v>314.58319</v>
      </c>
      <c r="C51" s="12">
        <f t="shared" si="3"/>
        <v>262.37565000000001</v>
      </c>
      <c r="D51" s="13">
        <f>(1738.14+214583.19)/1000</f>
        <v>216.32133000000002</v>
      </c>
      <c r="E51" s="13">
        <f>46054.32/1000</f>
        <v>46.054319999999997</v>
      </c>
      <c r="F51" s="12">
        <f>52207.54/1000</f>
        <v>52.207540000000002</v>
      </c>
    </row>
    <row r="52" spans="1:6" x14ac:dyDescent="0.25">
      <c r="A52" s="7" t="s">
        <v>29</v>
      </c>
      <c r="B52" s="12">
        <f t="shared" si="2"/>
        <v>548.41904</v>
      </c>
      <c r="C52" s="12">
        <f t="shared" si="3"/>
        <v>474.33955999999995</v>
      </c>
      <c r="D52" s="13">
        <f>(6156.56+448419.04)/1000</f>
        <v>454.57559999999995</v>
      </c>
      <c r="E52" s="13">
        <f>19763.96/1000</f>
        <v>19.763960000000001</v>
      </c>
      <c r="F52" s="12">
        <f>74079.48/1000</f>
        <v>74.07947999999999</v>
      </c>
    </row>
    <row r="53" spans="1:6" ht="24" x14ac:dyDescent="0.25">
      <c r="A53" s="7" t="s">
        <v>120</v>
      </c>
      <c r="B53" s="12">
        <f t="shared" si="2"/>
        <v>577.87128000000007</v>
      </c>
      <c r="C53" s="12">
        <f t="shared" si="3"/>
        <v>339.68312000000003</v>
      </c>
      <c r="D53" s="13">
        <f>(2611.51+327871.28)/1000</f>
        <v>330.48279000000002</v>
      </c>
      <c r="E53" s="13">
        <f>9200.33/1000</f>
        <v>9.2003299999999992</v>
      </c>
      <c r="F53" s="12">
        <f>238188.16/1000</f>
        <v>238.18816000000001</v>
      </c>
    </row>
    <row r="54" spans="1:6" x14ac:dyDescent="0.25">
      <c r="A54" s="7" t="s">
        <v>30</v>
      </c>
      <c r="B54" s="12">
        <f t="shared" si="2"/>
        <v>1531.9579999999999</v>
      </c>
      <c r="C54" s="12">
        <f t="shared" si="3"/>
        <v>1332.1289999999999</v>
      </c>
      <c r="D54" s="13">
        <f>(171+1331958)/1000</f>
        <v>1332.1289999999999</v>
      </c>
      <c r="E54" s="13">
        <v>0</v>
      </c>
      <c r="F54" s="12">
        <f>199829/1000</f>
        <v>199.82900000000001</v>
      </c>
    </row>
    <row r="55" spans="1:6" x14ac:dyDescent="0.25">
      <c r="A55" s="7" t="s">
        <v>31</v>
      </c>
      <c r="B55" s="12">
        <f t="shared" si="2"/>
        <v>753.02287000000001</v>
      </c>
      <c r="C55" s="12">
        <f t="shared" si="3"/>
        <v>663.19164000000001</v>
      </c>
      <c r="D55" s="13">
        <f>(80168.77+583022.87)/1000</f>
        <v>663.19164000000001</v>
      </c>
      <c r="E55" s="13">
        <v>0</v>
      </c>
      <c r="F55" s="12">
        <f>89831.23/1000</f>
        <v>89.831229999999991</v>
      </c>
    </row>
    <row r="56" spans="1:6" ht="29.25" customHeight="1" x14ac:dyDescent="0.25">
      <c r="A56" s="7" t="s">
        <v>32</v>
      </c>
      <c r="B56" s="12">
        <f t="shared" si="2"/>
        <v>599.58439999999996</v>
      </c>
      <c r="C56" s="12">
        <f t="shared" si="3"/>
        <v>561.63407999999993</v>
      </c>
      <c r="D56" s="13">
        <f>99584.4/1000</f>
        <v>99.584399999999988</v>
      </c>
      <c r="E56" s="13">
        <f>462049.68/1000</f>
        <v>462.04967999999997</v>
      </c>
      <c r="F56" s="12">
        <f>37950.32/1000</f>
        <v>37.950319999999998</v>
      </c>
    </row>
    <row r="57" spans="1:6" x14ac:dyDescent="0.25">
      <c r="A57" s="7" t="s">
        <v>33</v>
      </c>
      <c r="B57" s="12">
        <f t="shared" si="2"/>
        <v>636.48951999999997</v>
      </c>
      <c r="C57" s="12">
        <f t="shared" si="3"/>
        <v>362.62585999999999</v>
      </c>
      <c r="D57" s="13">
        <f>(32069.94+136489.52)/1000</f>
        <v>168.55946</v>
      </c>
      <c r="E57" s="13">
        <f>194066.4/1000</f>
        <v>194.06639999999999</v>
      </c>
      <c r="F57" s="12">
        <f>273863.66/1000</f>
        <v>273.86365999999998</v>
      </c>
    </row>
    <row r="58" spans="1:6" ht="24" x14ac:dyDescent="0.25">
      <c r="A58" s="7" t="s">
        <v>34</v>
      </c>
      <c r="B58" s="12">
        <f t="shared" si="2"/>
        <v>70</v>
      </c>
      <c r="C58" s="12">
        <f t="shared" si="3"/>
        <v>29.865650000000002</v>
      </c>
      <c r="D58" s="12">
        <v>0</v>
      </c>
      <c r="E58" s="12">
        <f>29865.65/1000</f>
        <v>29.865650000000002</v>
      </c>
      <c r="F58" s="12">
        <f>40134.35/1000</f>
        <v>40.134349999999998</v>
      </c>
    </row>
    <row r="59" spans="1:6" x14ac:dyDescent="0.25">
      <c r="A59" s="7" t="s">
        <v>35</v>
      </c>
      <c r="B59" s="12">
        <f t="shared" si="2"/>
        <v>750</v>
      </c>
      <c r="C59" s="12">
        <f t="shared" si="3"/>
        <v>743.21343000000002</v>
      </c>
      <c r="D59" s="12">
        <v>0</v>
      </c>
      <c r="E59" s="12">
        <f>743213.43/1000</f>
        <v>743.21343000000002</v>
      </c>
      <c r="F59" s="12">
        <f>6786.56999999995/1000</f>
        <v>6.7865699999999496</v>
      </c>
    </row>
    <row r="60" spans="1:6" ht="48" x14ac:dyDescent="0.25">
      <c r="A60" s="7" t="s">
        <v>121</v>
      </c>
      <c r="B60" s="12">
        <f t="shared" si="2"/>
        <v>375</v>
      </c>
      <c r="C60" s="12">
        <f t="shared" si="3"/>
        <v>333.04284000000001</v>
      </c>
      <c r="D60" s="13">
        <f>34604.4/1000</f>
        <v>34.604399999999998</v>
      </c>
      <c r="E60" s="13">
        <f>298438.44/1000</f>
        <v>298.43844000000001</v>
      </c>
      <c r="F60" s="12">
        <f>41957.16/1000</f>
        <v>41.957160000000002</v>
      </c>
    </row>
    <row r="61" spans="1:6" ht="24" x14ac:dyDescent="0.25">
      <c r="A61" s="7" t="s">
        <v>36</v>
      </c>
      <c r="B61" s="12">
        <f t="shared" si="2"/>
        <v>330</v>
      </c>
      <c r="C61" s="12">
        <f t="shared" si="3"/>
        <v>185.03402999999997</v>
      </c>
      <c r="D61" s="13">
        <f>29551.92/1000</f>
        <v>29.551919999999999</v>
      </c>
      <c r="E61" s="13">
        <f>155482.11/1000</f>
        <v>155.48210999999998</v>
      </c>
      <c r="F61" s="12">
        <f>144965.97/1000</f>
        <v>144.96597</v>
      </c>
    </row>
    <row r="62" spans="1:6" ht="24" x14ac:dyDescent="0.25">
      <c r="A62" s="7" t="s">
        <v>52</v>
      </c>
      <c r="B62" s="12">
        <f t="shared" si="2"/>
        <v>684.64559999999994</v>
      </c>
      <c r="C62" s="12">
        <f t="shared" si="3"/>
        <v>684.64559999999994</v>
      </c>
      <c r="D62" s="13">
        <f>684645.6/1000</f>
        <v>684.64559999999994</v>
      </c>
      <c r="E62" s="13">
        <v>0</v>
      </c>
      <c r="F62" s="12">
        <v>0</v>
      </c>
    </row>
    <row r="63" spans="1:6" x14ac:dyDescent="0.25">
      <c r="A63" s="7" t="s">
        <v>37</v>
      </c>
      <c r="B63" s="12">
        <f t="shared" si="2"/>
        <v>266.71715999999998</v>
      </c>
      <c r="C63" s="12">
        <f t="shared" si="3"/>
        <v>204.41716</v>
      </c>
      <c r="D63" s="13">
        <f>204417.16/1000</f>
        <v>204.41716</v>
      </c>
      <c r="E63" s="13">
        <v>0</v>
      </c>
      <c r="F63" s="12">
        <f>62300/1000</f>
        <v>62.3</v>
      </c>
    </row>
    <row r="64" spans="1:6" ht="24" x14ac:dyDescent="0.25">
      <c r="A64" s="7" t="s">
        <v>53</v>
      </c>
      <c r="B64" s="12">
        <f t="shared" si="2"/>
        <v>564.22219999999993</v>
      </c>
      <c r="C64" s="12">
        <f t="shared" si="3"/>
        <v>564.22219999999993</v>
      </c>
      <c r="D64" s="13">
        <f>564222.2/1000</f>
        <v>564.22219999999993</v>
      </c>
      <c r="E64" s="13">
        <v>0</v>
      </c>
      <c r="F64" s="12">
        <v>0</v>
      </c>
    </row>
    <row r="65" spans="1:7" x14ac:dyDescent="0.25">
      <c r="A65" s="7" t="s">
        <v>54</v>
      </c>
      <c r="B65" s="12">
        <f t="shared" si="2"/>
        <v>841.43719999999996</v>
      </c>
      <c r="C65" s="12">
        <f t="shared" si="3"/>
        <v>841.43719999999996</v>
      </c>
      <c r="D65" s="13">
        <f>(149674.86+691762.34)/1000</f>
        <v>841.43719999999996</v>
      </c>
      <c r="E65" s="13">
        <v>0</v>
      </c>
      <c r="F65" s="12">
        <v>0</v>
      </c>
    </row>
    <row r="66" spans="1:7" x14ac:dyDescent="0.25">
      <c r="A66" s="7" t="s">
        <v>55</v>
      </c>
      <c r="B66" s="12">
        <f t="shared" si="2"/>
        <v>20</v>
      </c>
      <c r="C66" s="12">
        <f t="shared" si="3"/>
        <v>20</v>
      </c>
      <c r="D66" s="13">
        <f>20000/1000</f>
        <v>20</v>
      </c>
      <c r="E66" s="13">
        <v>0</v>
      </c>
      <c r="F66" s="12">
        <v>0</v>
      </c>
    </row>
    <row r="67" spans="1:7" x14ac:dyDescent="0.25">
      <c r="A67" s="7" t="s">
        <v>56</v>
      </c>
      <c r="B67" s="12">
        <f t="shared" si="2"/>
        <v>120.18353</v>
      </c>
      <c r="C67" s="12">
        <f t="shared" si="3"/>
        <v>120.18353</v>
      </c>
      <c r="D67" s="13">
        <f>120183.53/1000</f>
        <v>120.18353</v>
      </c>
      <c r="E67" s="13">
        <v>0</v>
      </c>
      <c r="F67" s="12">
        <v>0</v>
      </c>
    </row>
    <row r="68" spans="1:7" x14ac:dyDescent="0.25">
      <c r="A68" s="7" t="s">
        <v>57</v>
      </c>
      <c r="B68" s="12">
        <f t="shared" si="2"/>
        <v>10000</v>
      </c>
      <c r="C68" s="12">
        <f t="shared" si="3"/>
        <v>10000</v>
      </c>
      <c r="D68" s="13">
        <f>5878245/1000</f>
        <v>5878.2449999999999</v>
      </c>
      <c r="E68" s="13">
        <f>4121755/1000</f>
        <v>4121.7550000000001</v>
      </c>
      <c r="F68" s="12">
        <v>0</v>
      </c>
    </row>
    <row r="69" spans="1:7" ht="24" x14ac:dyDescent="0.25">
      <c r="A69" s="7" t="s">
        <v>115</v>
      </c>
      <c r="B69" s="12">
        <f t="shared" si="2"/>
        <v>5000</v>
      </c>
      <c r="C69" s="12">
        <f t="shared" si="3"/>
        <v>5000</v>
      </c>
      <c r="D69" s="13">
        <f>500458/1000</f>
        <v>500.45800000000003</v>
      </c>
      <c r="E69" s="13">
        <f>4499542/1000</f>
        <v>4499.5420000000004</v>
      </c>
      <c r="F69" s="12">
        <v>0</v>
      </c>
    </row>
    <row r="70" spans="1:7" ht="36" x14ac:dyDescent="0.25">
      <c r="A70" s="7" t="s">
        <v>116</v>
      </c>
      <c r="B70" s="12">
        <f t="shared" si="2"/>
        <v>4090</v>
      </c>
      <c r="C70" s="12">
        <f t="shared" si="3"/>
        <v>598.60685999999998</v>
      </c>
      <c r="D70" s="13">
        <f>212464.28/1000</f>
        <v>212.46428</v>
      </c>
      <c r="E70" s="13">
        <f>386142.58/1000</f>
        <v>386.14258000000001</v>
      </c>
      <c r="F70" s="12">
        <f>3491393.14/1000</f>
        <v>3491.3931400000001</v>
      </c>
    </row>
    <row r="71" spans="1:7" ht="36" x14ac:dyDescent="0.25">
      <c r="A71" s="7" t="s">
        <v>38</v>
      </c>
      <c r="B71" s="12">
        <f t="shared" si="2"/>
        <v>1726.6</v>
      </c>
      <c r="C71" s="12">
        <f t="shared" si="3"/>
        <v>333.62484000000001</v>
      </c>
      <c r="D71" s="13">
        <f>410.56/1000</f>
        <v>0.41055999999999998</v>
      </c>
      <c r="E71" s="13">
        <f>333214.28/1000</f>
        <v>333.21428000000003</v>
      </c>
      <c r="F71" s="12">
        <f>1392975.16/1000</f>
        <v>1392.97516</v>
      </c>
    </row>
    <row r="72" spans="1:7" x14ac:dyDescent="0.25">
      <c r="A72" s="7" t="s">
        <v>39</v>
      </c>
      <c r="B72" s="12">
        <f t="shared" si="2"/>
        <v>50</v>
      </c>
      <c r="C72" s="12">
        <f t="shared" si="3"/>
        <v>0</v>
      </c>
      <c r="D72" s="13">
        <v>0</v>
      </c>
      <c r="E72" s="13">
        <v>0</v>
      </c>
      <c r="F72" s="12">
        <f>50000/1000</f>
        <v>50</v>
      </c>
    </row>
    <row r="73" spans="1:7" ht="36" x14ac:dyDescent="0.25">
      <c r="A73" s="7" t="s">
        <v>40</v>
      </c>
      <c r="B73" s="12">
        <f t="shared" si="2"/>
        <v>500</v>
      </c>
      <c r="C73" s="12">
        <f t="shared" si="3"/>
        <v>459.66284000000002</v>
      </c>
      <c r="D73" s="13">
        <f>99022.52/1000</f>
        <v>99.02252</v>
      </c>
      <c r="E73" s="13">
        <f>360640.32/1000</f>
        <v>360.64032000000003</v>
      </c>
      <c r="F73" s="12">
        <f>40337.16/1000</f>
        <v>40.337160000000004</v>
      </c>
    </row>
    <row r="74" spans="1:7" ht="36" x14ac:dyDescent="0.25">
      <c r="A74" s="7" t="s">
        <v>117</v>
      </c>
      <c r="B74" s="12">
        <f t="shared" si="2"/>
        <v>300</v>
      </c>
      <c r="C74" s="12">
        <f t="shared" si="3"/>
        <v>185.54311000000001</v>
      </c>
      <c r="D74" s="13">
        <f>124246.46/1000</f>
        <v>124.24646000000001</v>
      </c>
      <c r="E74" s="13">
        <f>61296.65/1000</f>
        <v>61.29665</v>
      </c>
      <c r="F74" s="12">
        <f>114456.89/1000</f>
        <v>114.45689</v>
      </c>
    </row>
    <row r="75" spans="1:7" ht="24" x14ac:dyDescent="0.25">
      <c r="A75" s="7" t="s">
        <v>41</v>
      </c>
      <c r="B75" s="12">
        <f t="shared" si="2"/>
        <v>400</v>
      </c>
      <c r="C75" s="12">
        <f t="shared" si="3"/>
        <v>129.45102</v>
      </c>
      <c r="D75" s="13">
        <v>0</v>
      </c>
      <c r="E75" s="13">
        <f>129451.02/1000</f>
        <v>129.45102</v>
      </c>
      <c r="F75" s="12">
        <f>270548.98/1000</f>
        <v>270.54897999999997</v>
      </c>
    </row>
    <row r="76" spans="1:7" ht="21" customHeight="1" x14ac:dyDescent="0.25">
      <c r="A76" s="7" t="s">
        <v>42</v>
      </c>
      <c r="B76" s="12">
        <f t="shared" si="2"/>
        <v>300</v>
      </c>
      <c r="C76" s="12">
        <f t="shared" si="3"/>
        <v>0</v>
      </c>
      <c r="D76" s="13">
        <v>0</v>
      </c>
      <c r="E76" s="13">
        <v>0</v>
      </c>
      <c r="F76" s="12">
        <f>300000/1000</f>
        <v>300</v>
      </c>
    </row>
    <row r="77" spans="1:7" x14ac:dyDescent="0.25">
      <c r="A77" s="7" t="s">
        <v>43</v>
      </c>
      <c r="B77" s="12">
        <f t="shared" si="2"/>
        <v>97</v>
      </c>
      <c r="C77" s="12">
        <f t="shared" si="3"/>
        <v>44.410059999999994</v>
      </c>
      <c r="D77" s="13">
        <v>0</v>
      </c>
      <c r="E77" s="13">
        <f>44410.06/1000</f>
        <v>44.410059999999994</v>
      </c>
      <c r="F77" s="12">
        <f>52589.94/1000</f>
        <v>52.589940000000006</v>
      </c>
    </row>
    <row r="78" spans="1:7" ht="24" x14ac:dyDescent="0.25">
      <c r="A78" s="7" t="s">
        <v>118</v>
      </c>
      <c r="B78" s="12">
        <f t="shared" si="2"/>
        <v>300</v>
      </c>
      <c r="C78" s="12">
        <f t="shared" si="3"/>
        <v>49.038319999999999</v>
      </c>
      <c r="D78" s="13">
        <v>0</v>
      </c>
      <c r="E78" s="13">
        <f>49038.32/1000</f>
        <v>49.038319999999999</v>
      </c>
      <c r="F78" s="12">
        <f>250961.68/1000</f>
        <v>250.96168</v>
      </c>
    </row>
    <row r="79" spans="1:7" ht="31.5" x14ac:dyDescent="0.25">
      <c r="A79" s="1" t="s">
        <v>58</v>
      </c>
      <c r="B79" s="11">
        <f>SUM(B80:B107)</f>
        <v>15324.288540000001</v>
      </c>
      <c r="C79" s="11">
        <f t="shared" ref="C79:C91" si="4">D79+E79</f>
        <v>8732.4873199999984</v>
      </c>
      <c r="D79" s="11">
        <f>SUM(D80:D107)</f>
        <v>8263.211589999999</v>
      </c>
      <c r="E79" s="11">
        <f t="shared" ref="E79:F79" si="5">SUM(E80:E107)</f>
        <v>469.27573000000007</v>
      </c>
      <c r="F79" s="11">
        <f t="shared" si="5"/>
        <v>6591.8012200000003</v>
      </c>
      <c r="G79" s="9"/>
    </row>
    <row r="80" spans="1:7" ht="36" x14ac:dyDescent="0.25">
      <c r="A80" s="7" t="s">
        <v>59</v>
      </c>
      <c r="B80" s="12">
        <f t="shared" ref="B80:B91" si="6">D80+E80+F80</f>
        <v>2852.491</v>
      </c>
      <c r="C80" s="12">
        <f t="shared" si="4"/>
        <v>2616.9</v>
      </c>
      <c r="D80" s="12">
        <f>2616900/1000</f>
        <v>2616.9</v>
      </c>
      <c r="E80" s="12">
        <v>0</v>
      </c>
      <c r="F80" s="12">
        <v>235.59100000000001</v>
      </c>
    </row>
    <row r="81" spans="1:6" ht="24" x14ac:dyDescent="0.25">
      <c r="A81" s="7" t="s">
        <v>60</v>
      </c>
      <c r="B81" s="12">
        <f t="shared" si="6"/>
        <v>3009.5322299999998</v>
      </c>
      <c r="C81" s="12">
        <f t="shared" si="4"/>
        <v>1797</v>
      </c>
      <c r="D81" s="12">
        <f>1797000/1000</f>
        <v>1797</v>
      </c>
      <c r="E81" s="12">
        <v>0</v>
      </c>
      <c r="F81" s="12">
        <f>1212532.23/1000</f>
        <v>1212.53223</v>
      </c>
    </row>
    <row r="82" spans="1:6" ht="36" x14ac:dyDescent="0.25">
      <c r="A82" s="7" t="s">
        <v>61</v>
      </c>
      <c r="B82" s="12">
        <f t="shared" si="6"/>
        <v>500</v>
      </c>
      <c r="C82" s="12">
        <f t="shared" si="4"/>
        <v>204.1</v>
      </c>
      <c r="D82" s="12">
        <v>204.1</v>
      </c>
      <c r="E82" s="12">
        <v>0</v>
      </c>
      <c r="F82" s="12">
        <v>295.89999999999998</v>
      </c>
    </row>
    <row r="83" spans="1:6" ht="24" x14ac:dyDescent="0.25">
      <c r="A83" s="7" t="s">
        <v>62</v>
      </c>
      <c r="B83" s="12">
        <f t="shared" si="6"/>
        <v>607.70100000000002</v>
      </c>
      <c r="C83" s="12">
        <f t="shared" si="4"/>
        <v>0</v>
      </c>
      <c r="D83" s="12">
        <v>0</v>
      </c>
      <c r="E83" s="12">
        <v>0</v>
      </c>
      <c r="F83" s="12">
        <f>(1926+605775)/1000</f>
        <v>607.70100000000002</v>
      </c>
    </row>
    <row r="84" spans="1:6" ht="36" x14ac:dyDescent="0.25">
      <c r="A84" s="7" t="s">
        <v>63</v>
      </c>
      <c r="B84" s="12">
        <f t="shared" si="6"/>
        <v>31.8</v>
      </c>
      <c r="C84" s="12">
        <f t="shared" si="4"/>
        <v>31.485939999999999</v>
      </c>
      <c r="D84" s="12">
        <f>31485.94/1000</f>
        <v>31.485939999999999</v>
      </c>
      <c r="E84" s="12">
        <v>0</v>
      </c>
      <c r="F84" s="12">
        <f>314.06/1000</f>
        <v>0.31406000000000001</v>
      </c>
    </row>
    <row r="85" spans="1:6" ht="24" x14ac:dyDescent="0.25">
      <c r="A85" s="7" t="s">
        <v>80</v>
      </c>
      <c r="B85" s="12">
        <f t="shared" si="6"/>
        <v>285</v>
      </c>
      <c r="C85" s="12">
        <f t="shared" si="4"/>
        <v>199.97375</v>
      </c>
      <c r="D85" s="12">
        <f>199973.75/1000</f>
        <v>199.97375</v>
      </c>
      <c r="E85" s="12">
        <v>0</v>
      </c>
      <c r="F85" s="12">
        <f>(226.25+84800)/1000</f>
        <v>85.026250000000005</v>
      </c>
    </row>
    <row r="86" spans="1:6" ht="24" x14ac:dyDescent="0.25">
      <c r="A86" s="7" t="s">
        <v>132</v>
      </c>
      <c r="B86" s="12">
        <f t="shared" si="6"/>
        <v>71.2</v>
      </c>
      <c r="C86" s="12">
        <f t="shared" si="4"/>
        <v>0</v>
      </c>
      <c r="D86" s="12">
        <v>0</v>
      </c>
      <c r="E86" s="12">
        <v>0</v>
      </c>
      <c r="F86" s="12">
        <v>71.2</v>
      </c>
    </row>
    <row r="87" spans="1:6" ht="24" x14ac:dyDescent="0.25">
      <c r="A87" s="7" t="s">
        <v>64</v>
      </c>
      <c r="B87" s="12">
        <f t="shared" si="6"/>
        <v>554.16600000000005</v>
      </c>
      <c r="C87" s="12">
        <f t="shared" si="4"/>
        <v>554.16600000000005</v>
      </c>
      <c r="D87" s="12">
        <f>554166/1000</f>
        <v>554.16600000000005</v>
      </c>
      <c r="E87" s="12">
        <v>0</v>
      </c>
      <c r="F87" s="12">
        <v>0</v>
      </c>
    </row>
    <row r="88" spans="1:6" ht="36" x14ac:dyDescent="0.25">
      <c r="A88" s="7" t="s">
        <v>65</v>
      </c>
      <c r="B88" s="12">
        <f t="shared" si="6"/>
        <v>692.86300000000006</v>
      </c>
      <c r="C88" s="12">
        <f t="shared" si="4"/>
        <v>692.86300000000006</v>
      </c>
      <c r="D88" s="12">
        <f>692863/1000</f>
        <v>692.86300000000006</v>
      </c>
      <c r="E88" s="12">
        <v>0</v>
      </c>
      <c r="F88" s="12">
        <v>0</v>
      </c>
    </row>
    <row r="89" spans="1:6" ht="36" x14ac:dyDescent="0.25">
      <c r="A89" s="7" t="s">
        <v>66</v>
      </c>
      <c r="B89" s="12">
        <f t="shared" si="6"/>
        <v>551.28440000000001</v>
      </c>
      <c r="C89" s="12">
        <f t="shared" si="4"/>
        <v>551.28440000000001</v>
      </c>
      <c r="D89" s="12">
        <f>551284.4/1000</f>
        <v>551.28440000000001</v>
      </c>
      <c r="E89" s="12">
        <v>0</v>
      </c>
      <c r="F89" s="12">
        <v>0</v>
      </c>
    </row>
    <row r="90" spans="1:6" ht="48" x14ac:dyDescent="0.25">
      <c r="A90" s="7" t="s">
        <v>122</v>
      </c>
      <c r="B90" s="12">
        <f t="shared" si="6"/>
        <v>225</v>
      </c>
      <c r="C90" s="12">
        <f t="shared" si="4"/>
        <v>225</v>
      </c>
      <c r="D90" s="12">
        <f>225000/1000</f>
        <v>225</v>
      </c>
      <c r="E90" s="12">
        <v>0</v>
      </c>
      <c r="F90" s="12">
        <v>0</v>
      </c>
    </row>
    <row r="91" spans="1:6" ht="36" x14ac:dyDescent="0.25">
      <c r="A91" s="7" t="s">
        <v>67</v>
      </c>
      <c r="B91" s="12">
        <f t="shared" si="6"/>
        <v>99.945599999999999</v>
      </c>
      <c r="C91" s="12">
        <f t="shared" si="4"/>
        <v>99.945599999999999</v>
      </c>
      <c r="D91" s="12">
        <f>99945.6/1000</f>
        <v>99.945599999999999</v>
      </c>
      <c r="E91" s="12">
        <v>0</v>
      </c>
      <c r="F91" s="12">
        <v>0</v>
      </c>
    </row>
    <row r="92" spans="1:6" ht="36" x14ac:dyDescent="0.25">
      <c r="A92" s="7" t="s">
        <v>68</v>
      </c>
      <c r="B92" s="12">
        <f t="shared" ref="B92:B137" si="7">D92+E92+F92</f>
        <v>200.09927000000002</v>
      </c>
      <c r="C92" s="12">
        <f t="shared" ref="C92:C137" si="8">D92+E92</f>
        <v>200.09927000000002</v>
      </c>
      <c r="D92" s="12">
        <f>(20173.2+179926.07)/1000</f>
        <v>200.09927000000002</v>
      </c>
      <c r="E92" s="12">
        <v>0</v>
      </c>
      <c r="F92" s="12">
        <v>0</v>
      </c>
    </row>
    <row r="93" spans="1:6" ht="36" x14ac:dyDescent="0.25">
      <c r="A93" s="7" t="s">
        <v>69</v>
      </c>
      <c r="B93" s="12">
        <f t="shared" si="7"/>
        <v>868.60614999999996</v>
      </c>
      <c r="C93" s="12">
        <f t="shared" si="8"/>
        <v>815.52334999999994</v>
      </c>
      <c r="D93" s="12">
        <f>(499623.4+83506.15)/1000</f>
        <v>583.12954999999999</v>
      </c>
      <c r="E93" s="12">
        <f>232393.8/1000</f>
        <v>232.3938</v>
      </c>
      <c r="F93" s="12">
        <f>53082.8/1000</f>
        <v>53.082800000000006</v>
      </c>
    </row>
    <row r="94" spans="1:6" ht="24" x14ac:dyDescent="0.25">
      <c r="A94" s="7" t="s">
        <v>70</v>
      </c>
      <c r="B94" s="12">
        <f t="shared" si="7"/>
        <v>221.16018</v>
      </c>
      <c r="C94" s="12">
        <f t="shared" si="8"/>
        <v>221.16018</v>
      </c>
      <c r="D94" s="12">
        <f>221160.18/1000</f>
        <v>221.16018</v>
      </c>
      <c r="E94" s="12">
        <v>0</v>
      </c>
      <c r="F94" s="12">
        <v>0</v>
      </c>
    </row>
    <row r="95" spans="1:6" ht="36" x14ac:dyDescent="0.25">
      <c r="A95" s="7" t="s">
        <v>71</v>
      </c>
      <c r="B95" s="12">
        <f t="shared" si="7"/>
        <v>1255.4860000000001</v>
      </c>
      <c r="C95" s="12">
        <f t="shared" si="8"/>
        <v>0</v>
      </c>
      <c r="D95" s="12">
        <v>0</v>
      </c>
      <c r="E95" s="12">
        <v>0</v>
      </c>
      <c r="F95" s="12">
        <f>(220207+1035279)/1000</f>
        <v>1255.4860000000001</v>
      </c>
    </row>
    <row r="96" spans="1:6" ht="84" x14ac:dyDescent="0.25">
      <c r="A96" s="7" t="s">
        <v>129</v>
      </c>
      <c r="B96" s="12">
        <f t="shared" si="7"/>
        <v>871.4380000000001</v>
      </c>
      <c r="C96" s="12">
        <f t="shared" si="8"/>
        <v>138.23895999999999</v>
      </c>
      <c r="D96" s="12">
        <f>138238.96/1000</f>
        <v>138.23895999999999</v>
      </c>
      <c r="E96" s="12">
        <v>0</v>
      </c>
      <c r="F96" s="12">
        <f>(193477.78+539721.26)/1000</f>
        <v>733.19904000000008</v>
      </c>
    </row>
    <row r="97" spans="1:6" ht="60" x14ac:dyDescent="0.25">
      <c r="A97" s="7" t="s">
        <v>72</v>
      </c>
      <c r="B97" s="12">
        <f t="shared" si="7"/>
        <v>188.30924999999999</v>
      </c>
      <c r="C97" s="12">
        <f t="shared" si="8"/>
        <v>29.436129999999999</v>
      </c>
      <c r="D97" s="12">
        <f>2692.8/1000</f>
        <v>2.6928000000000001</v>
      </c>
      <c r="E97" s="12">
        <f>26743.33/1000</f>
        <v>26.74333</v>
      </c>
      <c r="F97" s="12">
        <f>158873.12/1000</f>
        <v>158.87312</v>
      </c>
    </row>
    <row r="98" spans="1:6" ht="60" x14ac:dyDescent="0.25">
      <c r="A98" s="7" t="s">
        <v>73</v>
      </c>
      <c r="B98" s="12">
        <f t="shared" si="7"/>
        <v>305.05545999999998</v>
      </c>
      <c r="C98" s="12">
        <f t="shared" si="8"/>
        <v>19.614000000000001</v>
      </c>
      <c r="D98" s="12">
        <f>2961.6/1000</f>
        <v>2.9615999999999998</v>
      </c>
      <c r="E98" s="12">
        <f>16652.4/1000</f>
        <v>16.6524</v>
      </c>
      <c r="F98" s="12">
        <f>285441.46/1000</f>
        <v>285.44146000000001</v>
      </c>
    </row>
    <row r="99" spans="1:6" ht="48" x14ac:dyDescent="0.25">
      <c r="A99" s="7" t="s">
        <v>130</v>
      </c>
      <c r="B99" s="12">
        <f t="shared" si="7"/>
        <v>215.13100000000003</v>
      </c>
      <c r="C99" s="12">
        <f t="shared" si="8"/>
        <v>193.48620000000003</v>
      </c>
      <c r="D99" s="12">
        <v>0</v>
      </c>
      <c r="E99" s="12">
        <f>193486.2/1000</f>
        <v>193.48620000000003</v>
      </c>
      <c r="F99" s="12">
        <f>21644.8/1000</f>
        <v>21.6448</v>
      </c>
    </row>
    <row r="100" spans="1:6" ht="36" x14ac:dyDescent="0.25">
      <c r="A100" s="7" t="s">
        <v>74</v>
      </c>
      <c r="B100" s="12">
        <f t="shared" si="7"/>
        <v>50</v>
      </c>
      <c r="C100" s="12">
        <f t="shared" si="8"/>
        <v>9.3010000000000002</v>
      </c>
      <c r="D100" s="12">
        <f>9301/1000</f>
        <v>9.3010000000000002</v>
      </c>
      <c r="E100" s="12">
        <v>0</v>
      </c>
      <c r="F100" s="12">
        <f>40699/1000</f>
        <v>40.698999999999998</v>
      </c>
    </row>
    <row r="101" spans="1:6" ht="36" x14ac:dyDescent="0.25">
      <c r="A101" s="7" t="s">
        <v>75</v>
      </c>
      <c r="B101" s="12">
        <f t="shared" si="7"/>
        <v>106.75</v>
      </c>
      <c r="C101" s="12">
        <f t="shared" si="8"/>
        <v>84.72954</v>
      </c>
      <c r="D101" s="12">
        <f>84729.54/1000</f>
        <v>84.72954</v>
      </c>
      <c r="E101" s="12">
        <v>0</v>
      </c>
      <c r="F101" s="12">
        <f>(18677.83+3342.63)/1000</f>
        <v>22.020460000000003</v>
      </c>
    </row>
    <row r="102" spans="1:6" ht="24" x14ac:dyDescent="0.25">
      <c r="A102" s="7" t="s">
        <v>76</v>
      </c>
      <c r="B102" s="12">
        <f t="shared" si="7"/>
        <v>60</v>
      </c>
      <c r="C102" s="12">
        <f t="shared" si="8"/>
        <v>48.18</v>
      </c>
      <c r="D102" s="12">
        <f>48180/1000</f>
        <v>48.18</v>
      </c>
      <c r="E102" s="12">
        <v>0</v>
      </c>
      <c r="F102" s="12">
        <f>11820/1000</f>
        <v>11.82</v>
      </c>
    </row>
    <row r="103" spans="1:6" ht="60" x14ac:dyDescent="0.25">
      <c r="A103" s="7" t="s">
        <v>131</v>
      </c>
      <c r="B103" s="12">
        <f t="shared" si="7"/>
        <v>283.25</v>
      </c>
      <c r="C103" s="12">
        <f t="shared" si="8"/>
        <v>0</v>
      </c>
      <c r="D103" s="12">
        <v>0</v>
      </c>
      <c r="E103" s="12">
        <v>0</v>
      </c>
      <c r="F103" s="12">
        <f>(11108.6+272141.4)/1000</f>
        <v>283.25</v>
      </c>
    </row>
    <row r="104" spans="1:6" ht="60" x14ac:dyDescent="0.25">
      <c r="A104" s="7" t="s">
        <v>119</v>
      </c>
      <c r="B104" s="12">
        <f t="shared" si="7"/>
        <v>444</v>
      </c>
      <c r="C104" s="12">
        <f t="shared" si="8"/>
        <v>0</v>
      </c>
      <c r="D104" s="12">
        <v>0</v>
      </c>
      <c r="E104" s="12">
        <v>0</v>
      </c>
      <c r="F104" s="12">
        <f>444000/1000</f>
        <v>444</v>
      </c>
    </row>
    <row r="105" spans="1:6" ht="48" x14ac:dyDescent="0.25">
      <c r="A105" s="7" t="s">
        <v>77</v>
      </c>
      <c r="B105" s="12">
        <f t="shared" si="7"/>
        <v>506</v>
      </c>
      <c r="C105" s="12">
        <f t="shared" si="8"/>
        <v>0</v>
      </c>
      <c r="D105" s="12">
        <v>0</v>
      </c>
      <c r="E105" s="12">
        <v>0</v>
      </c>
      <c r="F105" s="12">
        <f>506000/1000</f>
        <v>506</v>
      </c>
    </row>
    <row r="106" spans="1:6" ht="36" x14ac:dyDescent="0.25">
      <c r="A106" s="7" t="s">
        <v>78</v>
      </c>
      <c r="B106" s="12">
        <f t="shared" si="7"/>
        <v>137.27799999999999</v>
      </c>
      <c r="C106" s="12">
        <f t="shared" si="8"/>
        <v>0</v>
      </c>
      <c r="D106" s="12">
        <v>0</v>
      </c>
      <c r="E106" s="12">
        <v>0</v>
      </c>
      <c r="F106" s="12">
        <f>(172.1+137105.9)/1000</f>
        <v>137.27799999999999</v>
      </c>
    </row>
    <row r="107" spans="1:6" ht="48" x14ac:dyDescent="0.25">
      <c r="A107" s="7" t="s">
        <v>79</v>
      </c>
      <c r="B107" s="12">
        <f t="shared" si="7"/>
        <v>130.74199999999999</v>
      </c>
      <c r="C107" s="12">
        <f t="shared" si="8"/>
        <v>0</v>
      </c>
      <c r="D107" s="12">
        <v>0</v>
      </c>
      <c r="E107" s="12">
        <v>0</v>
      </c>
      <c r="F107" s="12">
        <f>(20000+110742)/1000</f>
        <v>130.74199999999999</v>
      </c>
    </row>
    <row r="108" spans="1:6" ht="15.75" x14ac:dyDescent="0.25">
      <c r="A108" s="1" t="s">
        <v>81</v>
      </c>
      <c r="B108" s="11">
        <f t="shared" si="7"/>
        <v>4844.3539499999997</v>
      </c>
      <c r="C108" s="11">
        <f t="shared" si="8"/>
        <v>2816.5930499999999</v>
      </c>
      <c r="D108" s="11">
        <f>D109+D110</f>
        <v>1738.16194</v>
      </c>
      <c r="E108" s="11">
        <f>E109+E110</f>
        <v>1078.43111</v>
      </c>
      <c r="F108" s="11">
        <f>F109+F110</f>
        <v>2027.7609</v>
      </c>
    </row>
    <row r="109" spans="1:6" ht="24" x14ac:dyDescent="0.25">
      <c r="A109" s="7" t="s">
        <v>82</v>
      </c>
      <c r="B109" s="12">
        <f t="shared" si="7"/>
        <v>1982.54369</v>
      </c>
      <c r="C109" s="12">
        <f t="shared" si="8"/>
        <v>1047.12787</v>
      </c>
      <c r="D109" s="12">
        <f>927072.76/1000</f>
        <v>927.07276000000002</v>
      </c>
      <c r="E109" s="12">
        <f>120055.11/1000</f>
        <v>120.05511</v>
      </c>
      <c r="F109" s="12">
        <f>935415.82/1000</f>
        <v>935.41581999999994</v>
      </c>
    </row>
    <row r="110" spans="1:6" ht="24" x14ac:dyDescent="0.25">
      <c r="A110" s="7" t="s">
        <v>83</v>
      </c>
      <c r="B110" s="12">
        <f t="shared" si="7"/>
        <v>2861.8102600000002</v>
      </c>
      <c r="C110" s="12">
        <f t="shared" si="8"/>
        <v>1769.4651800000001</v>
      </c>
      <c r="D110" s="12">
        <f>811089.18/1000</f>
        <v>811.08918000000006</v>
      </c>
      <c r="E110" s="12">
        <f>958376/1000</f>
        <v>958.37599999999998</v>
      </c>
      <c r="F110" s="12">
        <f>1092345.08/1000</f>
        <v>1092.3450800000001</v>
      </c>
    </row>
    <row r="111" spans="1:6" ht="31.5" x14ac:dyDescent="0.25">
      <c r="A111" s="1" t="s">
        <v>84</v>
      </c>
      <c r="B111" s="11">
        <f t="shared" si="7"/>
        <v>13435.733779999999</v>
      </c>
      <c r="C111" s="11">
        <f t="shared" si="8"/>
        <v>6522.3851800000002</v>
      </c>
      <c r="D111" s="11">
        <f>SUM(D112:D114)</f>
        <v>5425.90218</v>
      </c>
      <c r="E111" s="11">
        <f t="shared" ref="E111:F111" si="9">SUM(E112:E114)</f>
        <v>1096.4829999999999</v>
      </c>
      <c r="F111" s="11">
        <f t="shared" si="9"/>
        <v>6913.3485999999994</v>
      </c>
    </row>
    <row r="112" spans="1:6" ht="24" x14ac:dyDescent="0.25">
      <c r="A112" s="7" t="s">
        <v>83</v>
      </c>
      <c r="B112" s="12">
        <f t="shared" si="7"/>
        <v>3944.4784999999997</v>
      </c>
      <c r="C112" s="12">
        <f t="shared" si="8"/>
        <v>3308.9984999999997</v>
      </c>
      <c r="D112" s="12">
        <f>2682847.5/1000</f>
        <v>2682.8474999999999</v>
      </c>
      <c r="E112" s="12">
        <f>626151/1000</f>
        <v>626.15099999999995</v>
      </c>
      <c r="F112" s="12">
        <f>635480/1000</f>
        <v>635.48</v>
      </c>
    </row>
    <row r="113" spans="1:6" x14ac:dyDescent="0.25">
      <c r="A113" s="7" t="s">
        <v>85</v>
      </c>
      <c r="B113" s="12">
        <f t="shared" si="7"/>
        <v>8491.2552799999994</v>
      </c>
      <c r="C113" s="12">
        <f t="shared" si="8"/>
        <v>3213.3866800000001</v>
      </c>
      <c r="D113" s="12">
        <f>2743054.68/1000</f>
        <v>2743.0546800000002</v>
      </c>
      <c r="E113" s="12">
        <f>470332/1000</f>
        <v>470.33199999999999</v>
      </c>
      <c r="F113" s="12">
        <f>5277868.6/1000</f>
        <v>5277.8685999999998</v>
      </c>
    </row>
    <row r="114" spans="1:6" x14ac:dyDescent="0.25">
      <c r="A114" s="7" t="s">
        <v>86</v>
      </c>
      <c r="B114" s="12">
        <f t="shared" si="7"/>
        <v>1000</v>
      </c>
      <c r="C114" s="12">
        <f t="shared" si="8"/>
        <v>0</v>
      </c>
      <c r="D114" s="12">
        <v>0</v>
      </c>
      <c r="E114" s="12">
        <v>0</v>
      </c>
      <c r="F114" s="12">
        <f>1000000/1000</f>
        <v>1000</v>
      </c>
    </row>
    <row r="115" spans="1:6" ht="31.5" x14ac:dyDescent="0.25">
      <c r="A115" s="1" t="s">
        <v>87</v>
      </c>
      <c r="B115" s="11">
        <f t="shared" si="7"/>
        <v>22155.626090000002</v>
      </c>
      <c r="C115" s="11">
        <f t="shared" si="8"/>
        <v>19853.675950000001</v>
      </c>
      <c r="D115" s="11">
        <f>SUM(D116:D119)</f>
        <v>15661.925580000001</v>
      </c>
      <c r="E115" s="11">
        <f t="shared" ref="E115:F115" si="10">SUM(E116:E119)</f>
        <v>4191.7503699999997</v>
      </c>
      <c r="F115" s="11">
        <f t="shared" si="10"/>
        <v>2301.9501399999999</v>
      </c>
    </row>
    <row r="116" spans="1:6" x14ac:dyDescent="0.25">
      <c r="A116" s="7" t="s">
        <v>88</v>
      </c>
      <c r="B116" s="12">
        <f t="shared" si="7"/>
        <v>18920.571110000001</v>
      </c>
      <c r="C116" s="12">
        <f t="shared" si="8"/>
        <v>16622.28097</v>
      </c>
      <c r="D116" s="12">
        <f>12564549.6/1000</f>
        <v>12564.5496</v>
      </c>
      <c r="E116" s="12">
        <f>4057731.37/1000</f>
        <v>4057.73137</v>
      </c>
      <c r="F116" s="12">
        <f>2298290.14/1000</f>
        <v>2298.2901400000001</v>
      </c>
    </row>
    <row r="117" spans="1:6" x14ac:dyDescent="0.25">
      <c r="A117" s="7" t="s">
        <v>89</v>
      </c>
      <c r="B117" s="12">
        <f t="shared" si="7"/>
        <v>101.672</v>
      </c>
      <c r="C117" s="12">
        <f t="shared" si="8"/>
        <v>101.672</v>
      </c>
      <c r="D117" s="12">
        <f>41528/1000</f>
        <v>41.527999999999999</v>
      </c>
      <c r="E117" s="12">
        <f>60144/1000</f>
        <v>60.143999999999998</v>
      </c>
      <c r="F117" s="12">
        <v>0</v>
      </c>
    </row>
    <row r="118" spans="1:6" ht="24" x14ac:dyDescent="0.25">
      <c r="A118" s="7" t="s">
        <v>83</v>
      </c>
      <c r="B118" s="12">
        <f t="shared" si="7"/>
        <v>2924.7069999999999</v>
      </c>
      <c r="C118" s="12">
        <f t="shared" si="8"/>
        <v>2921.047</v>
      </c>
      <c r="D118" s="12">
        <f>2847172/1000</f>
        <v>2847.172</v>
      </c>
      <c r="E118" s="12">
        <f>73875/1000</f>
        <v>73.875</v>
      </c>
      <c r="F118" s="12">
        <f>3660/1000</f>
        <v>3.66</v>
      </c>
    </row>
    <row r="119" spans="1:6" x14ac:dyDescent="0.25">
      <c r="A119" s="7" t="s">
        <v>90</v>
      </c>
      <c r="B119" s="12">
        <f t="shared" si="7"/>
        <v>208.67598000000001</v>
      </c>
      <c r="C119" s="12">
        <f t="shared" si="8"/>
        <v>208.67598000000001</v>
      </c>
      <c r="D119" s="12">
        <f>208675.98/1000</f>
        <v>208.67598000000001</v>
      </c>
      <c r="E119" s="12">
        <v>0</v>
      </c>
      <c r="F119" s="12">
        <v>0</v>
      </c>
    </row>
    <row r="120" spans="1:6" ht="31.5" x14ac:dyDescent="0.25">
      <c r="A120" s="1" t="s">
        <v>91</v>
      </c>
      <c r="B120" s="11">
        <f t="shared" si="7"/>
        <v>8009.4179599999998</v>
      </c>
      <c r="C120" s="11">
        <f t="shared" si="8"/>
        <v>4914.6603999999998</v>
      </c>
      <c r="D120" s="11">
        <f>SUM(D121:D124)</f>
        <v>3561.3701999999998</v>
      </c>
      <c r="E120" s="11">
        <f t="shared" ref="E120:F120" si="11">SUM(E121:E124)</f>
        <v>1353.2901999999999</v>
      </c>
      <c r="F120" s="11">
        <f t="shared" si="11"/>
        <v>3094.75756</v>
      </c>
    </row>
    <row r="121" spans="1:6" x14ac:dyDescent="0.25">
      <c r="A121" s="7" t="s">
        <v>92</v>
      </c>
      <c r="B121" s="12">
        <f t="shared" si="7"/>
        <v>5955.94596</v>
      </c>
      <c r="C121" s="12">
        <f t="shared" si="8"/>
        <v>2953.0933100000002</v>
      </c>
      <c r="D121" s="12">
        <f>1916409.2/1000</f>
        <v>1916.4092000000001</v>
      </c>
      <c r="E121" s="12">
        <f>1036684.11/1000</f>
        <v>1036.6841099999999</v>
      </c>
      <c r="F121" s="12">
        <f>3002852.65/1000</f>
        <v>3002.8526499999998</v>
      </c>
    </row>
    <row r="122" spans="1:6" x14ac:dyDescent="0.25">
      <c r="A122" s="7" t="s">
        <v>93</v>
      </c>
      <c r="B122" s="12">
        <f t="shared" si="7"/>
        <v>106</v>
      </c>
      <c r="C122" s="12">
        <f t="shared" si="8"/>
        <v>53</v>
      </c>
      <c r="D122" s="12">
        <f>53000/1000</f>
        <v>53</v>
      </c>
      <c r="E122" s="12">
        <v>0</v>
      </c>
      <c r="F122" s="12">
        <f>53000/1000</f>
        <v>53</v>
      </c>
    </row>
    <row r="123" spans="1:6" x14ac:dyDescent="0.25">
      <c r="A123" s="7" t="s">
        <v>94</v>
      </c>
      <c r="B123" s="12">
        <f t="shared" si="7"/>
        <v>144.6</v>
      </c>
      <c r="C123" s="12">
        <f t="shared" si="8"/>
        <v>136.30909</v>
      </c>
      <c r="D123" s="12">
        <f>99611/1000</f>
        <v>99.611000000000004</v>
      </c>
      <c r="E123" s="12">
        <f>36698.09/1000</f>
        <v>36.698089999999993</v>
      </c>
      <c r="F123" s="12">
        <f>8290.91/1000</f>
        <v>8.2909100000000002</v>
      </c>
    </row>
    <row r="124" spans="1:6" ht="24" x14ac:dyDescent="0.25">
      <c r="A124" s="7" t="s">
        <v>83</v>
      </c>
      <c r="B124" s="12">
        <f t="shared" si="7"/>
        <v>1802.8719999999998</v>
      </c>
      <c r="C124" s="12">
        <f t="shared" si="8"/>
        <v>1772.2579999999998</v>
      </c>
      <c r="D124" s="12">
        <f>1492350/1000</f>
        <v>1492.35</v>
      </c>
      <c r="E124" s="12">
        <f>279908/1000</f>
        <v>279.90800000000002</v>
      </c>
      <c r="F124" s="12">
        <f>30614/1000</f>
        <v>30.614000000000001</v>
      </c>
    </row>
    <row r="125" spans="1:6" ht="31.5" x14ac:dyDescent="0.25">
      <c r="A125" s="1" t="s">
        <v>95</v>
      </c>
      <c r="B125" s="11">
        <f>D125+E125+F125</f>
        <v>3259.5029999999997</v>
      </c>
      <c r="C125" s="11">
        <f>D125+E125</f>
        <v>727.09500000000003</v>
      </c>
      <c r="D125" s="11">
        <f>SUM(D126:D131)</f>
        <v>0</v>
      </c>
      <c r="E125" s="11">
        <f t="shared" ref="E125" si="12">SUM(E126:E131)</f>
        <v>727.09500000000003</v>
      </c>
      <c r="F125" s="11">
        <f>SUM(F126:F131)</f>
        <v>2532.4079999999999</v>
      </c>
    </row>
    <row r="126" spans="1:6" ht="24" x14ac:dyDescent="0.25">
      <c r="A126" s="7" t="s">
        <v>96</v>
      </c>
      <c r="B126" s="12">
        <f>D126+E126+F126</f>
        <v>146.65700000000001</v>
      </c>
      <c r="C126" s="12">
        <f>D126+E126</f>
        <v>0</v>
      </c>
      <c r="D126" s="12">
        <v>0</v>
      </c>
      <c r="E126" s="12">
        <v>0</v>
      </c>
      <c r="F126" s="12">
        <f>146657/1000</f>
        <v>146.65700000000001</v>
      </c>
    </row>
    <row r="127" spans="1:6" ht="24" x14ac:dyDescent="0.25">
      <c r="A127" s="7" t="s">
        <v>97</v>
      </c>
      <c r="B127" s="12">
        <f t="shared" si="7"/>
        <v>200</v>
      </c>
      <c r="C127" s="12">
        <f t="shared" si="8"/>
        <v>199.995</v>
      </c>
      <c r="D127" s="12">
        <v>0</v>
      </c>
      <c r="E127" s="12">
        <f>199995/1000</f>
        <v>199.995</v>
      </c>
      <c r="F127" s="12">
        <f>5/1000</f>
        <v>5.0000000000000001E-3</v>
      </c>
    </row>
    <row r="128" spans="1:6" ht="24" x14ac:dyDescent="0.25">
      <c r="A128" s="7" t="s">
        <v>98</v>
      </c>
      <c r="B128" s="12">
        <f t="shared" si="7"/>
        <v>1164.5450000000001</v>
      </c>
      <c r="C128" s="12">
        <f t="shared" si="8"/>
        <v>0</v>
      </c>
      <c r="D128" s="12">
        <v>0</v>
      </c>
      <c r="E128" s="12">
        <v>0</v>
      </c>
      <c r="F128" s="12">
        <f>1164545/1000</f>
        <v>1164.5450000000001</v>
      </c>
    </row>
    <row r="129" spans="1:6" ht="24" x14ac:dyDescent="0.25">
      <c r="A129" s="7" t="s">
        <v>99</v>
      </c>
      <c r="B129" s="12">
        <f t="shared" si="7"/>
        <v>865.29100000000005</v>
      </c>
      <c r="C129" s="12">
        <f t="shared" si="8"/>
        <v>0</v>
      </c>
      <c r="D129" s="12">
        <v>0</v>
      </c>
      <c r="E129" s="12">
        <v>0</v>
      </c>
      <c r="F129" s="12">
        <f>865291/1000</f>
        <v>865.29100000000005</v>
      </c>
    </row>
    <row r="130" spans="1:6" ht="24" x14ac:dyDescent="0.25">
      <c r="A130" s="7" t="s">
        <v>100</v>
      </c>
      <c r="B130" s="12">
        <f t="shared" si="7"/>
        <v>342.95</v>
      </c>
      <c r="C130" s="12">
        <f t="shared" si="8"/>
        <v>0</v>
      </c>
      <c r="D130" s="12">
        <v>0</v>
      </c>
      <c r="E130" s="12">
        <v>0</v>
      </c>
      <c r="F130" s="12">
        <f>342950/1000</f>
        <v>342.95</v>
      </c>
    </row>
    <row r="131" spans="1:6" ht="24" x14ac:dyDescent="0.25">
      <c r="A131" s="7" t="s">
        <v>101</v>
      </c>
      <c r="B131" s="12">
        <f t="shared" si="7"/>
        <v>540.05999999999995</v>
      </c>
      <c r="C131" s="12">
        <f t="shared" si="8"/>
        <v>527.1</v>
      </c>
      <c r="D131" s="12">
        <v>0</v>
      </c>
      <c r="E131" s="12">
        <v>527.1</v>
      </c>
      <c r="F131" s="12">
        <f>(540.06-E131)</f>
        <v>12.959999999999923</v>
      </c>
    </row>
    <row r="132" spans="1:6" ht="31.5" x14ac:dyDescent="0.25">
      <c r="A132" s="1" t="s">
        <v>102</v>
      </c>
      <c r="B132" s="11">
        <f t="shared" si="7"/>
        <v>1113.75</v>
      </c>
      <c r="C132" s="11">
        <f t="shared" si="8"/>
        <v>0</v>
      </c>
      <c r="D132" s="11">
        <f>D133</f>
        <v>0</v>
      </c>
      <c r="E132" s="11">
        <f t="shared" ref="E132:F132" si="13">E133</f>
        <v>0</v>
      </c>
      <c r="F132" s="11">
        <f t="shared" si="13"/>
        <v>1113.75</v>
      </c>
    </row>
    <row r="133" spans="1:6" ht="36" x14ac:dyDescent="0.25">
      <c r="A133" s="7" t="s">
        <v>103</v>
      </c>
      <c r="B133" s="12">
        <f t="shared" si="7"/>
        <v>1113.75</v>
      </c>
      <c r="C133" s="12">
        <f t="shared" si="8"/>
        <v>0</v>
      </c>
      <c r="D133" s="12">
        <v>0</v>
      </c>
      <c r="E133" s="12">
        <v>0</v>
      </c>
      <c r="F133" s="12">
        <v>1113.75</v>
      </c>
    </row>
    <row r="134" spans="1:6" ht="31.5" x14ac:dyDescent="0.25">
      <c r="A134" s="1" t="s">
        <v>104</v>
      </c>
      <c r="B134" s="11">
        <f t="shared" si="7"/>
        <v>293.95852000000002</v>
      </c>
      <c r="C134" s="11">
        <f t="shared" si="8"/>
        <v>289.86252000000002</v>
      </c>
      <c r="D134" s="11">
        <f>D135</f>
        <v>255.54252</v>
      </c>
      <c r="E134" s="11">
        <f t="shared" ref="E134:F134" si="14">E135</f>
        <v>34.32</v>
      </c>
      <c r="F134" s="11">
        <f t="shared" si="14"/>
        <v>4.0960000000000036</v>
      </c>
    </row>
    <row r="135" spans="1:6" ht="36" x14ac:dyDescent="0.25">
      <c r="A135" s="7" t="s">
        <v>105</v>
      </c>
      <c r="B135" s="12">
        <f t="shared" si="7"/>
        <v>293.95852000000002</v>
      </c>
      <c r="C135" s="12">
        <f t="shared" si="8"/>
        <v>289.86252000000002</v>
      </c>
      <c r="D135" s="12">
        <f>255542.52/1000</f>
        <v>255.54252</v>
      </c>
      <c r="E135" s="12">
        <f>34320/1000</f>
        <v>34.32</v>
      </c>
      <c r="F135" s="12">
        <f>(293.95852-C135)</f>
        <v>4.0960000000000036</v>
      </c>
    </row>
    <row r="136" spans="1:6" ht="31.5" x14ac:dyDescent="0.25">
      <c r="A136" s="1" t="s">
        <v>106</v>
      </c>
      <c r="B136" s="11">
        <f t="shared" si="7"/>
        <v>1749.6466800000003</v>
      </c>
      <c r="C136" s="11">
        <f t="shared" si="8"/>
        <v>1210.5971400000001</v>
      </c>
      <c r="D136" s="11">
        <f>D137</f>
        <v>1210.5971400000001</v>
      </c>
      <c r="E136" s="11">
        <f t="shared" ref="E136:F136" si="15">E137</f>
        <v>0</v>
      </c>
      <c r="F136" s="11">
        <f t="shared" si="15"/>
        <v>539.04954000000009</v>
      </c>
    </row>
    <row r="137" spans="1:6" ht="36" x14ac:dyDescent="0.25">
      <c r="A137" s="7" t="s">
        <v>107</v>
      </c>
      <c r="B137" s="12">
        <f t="shared" si="7"/>
        <v>1749.6466800000003</v>
      </c>
      <c r="C137" s="12">
        <f t="shared" si="8"/>
        <v>1210.5971400000001</v>
      </c>
      <c r="D137" s="12">
        <f>(1185440.81+25156.33)/1000</f>
        <v>1210.5971400000001</v>
      </c>
      <c r="E137" s="12">
        <v>0</v>
      </c>
      <c r="F137" s="12">
        <f>539049.54/1000</f>
        <v>539.04954000000009</v>
      </c>
    </row>
  </sheetData>
  <mergeCells count="7">
    <mergeCell ref="D1:F3"/>
    <mergeCell ref="A8:A9"/>
    <mergeCell ref="B8:B9"/>
    <mergeCell ref="A5:F5"/>
    <mergeCell ref="A6:F6"/>
    <mergeCell ref="C8:E8"/>
    <mergeCell ref="F8:F9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differentFirst="1">
    <oddHeader>&amp;C&amp;"Times New Roman,обычный"&amp;12&amp;P&amp;R&amp;"Times New Roman,курсив"&amp;14Продовження додатка</oddHeader>
  </headerFooter>
  <rowBreaks count="1" manualBreakCount="1">
    <brk id="13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MVK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e_invest18</dc:creator>
  <cp:lastModifiedBy>e_invest18</cp:lastModifiedBy>
  <cp:lastPrinted>2014-01-28T08:16:34Z</cp:lastPrinted>
  <dcterms:created xsi:type="dcterms:W3CDTF">2014-01-15T13:06:41Z</dcterms:created>
  <dcterms:modified xsi:type="dcterms:W3CDTF">2014-01-28T08:20:42Z</dcterms:modified>
</cp:coreProperties>
</file>